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клиенты\СТ Строитель\годовое собрание 25 г\"/>
    </mc:Choice>
  </mc:AlternateContent>
  <xr:revisionPtr revIDLastSave="0" documentId="13_ncr:1_{1A37C73D-9081-4A43-BA25-82824E369604}" xr6:coauthVersionLast="47" xr6:coauthVersionMax="47" xr10:uidLastSave="{00000000-0000-0000-0000-000000000000}"/>
  <bookViews>
    <workbookView xWindow="-24120" yWindow="-4695" windowWidth="24240" windowHeight="13140" xr2:uid="{00000000-000D-0000-FFFF-FFFF00000000}"/>
  </bookViews>
  <sheets>
    <sheet name="2000 руб. -2026" sheetId="3" r:id="rId1"/>
    <sheet name="Лист2" sheetId="4" r:id="rId2"/>
    <sheet name="1850 руб. -2023 " sheetId="1" r:id="rId3"/>
    <sheet name="Лист1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/>
  <c r="A2" i="4"/>
  <c r="C1" i="4"/>
  <c r="B1" i="4"/>
  <c r="A1" i="4"/>
  <c r="Q34" i="3"/>
  <c r="Q27" i="3"/>
  <c r="Q29" i="3"/>
  <c r="Q22" i="3"/>
  <c r="D8" i="3"/>
  <c r="F8" i="3" s="1"/>
  <c r="D7" i="3"/>
  <c r="F7" i="3" s="1"/>
  <c r="D6" i="3"/>
  <c r="F6" i="3" s="1"/>
  <c r="D4" i="3"/>
  <c r="F4" i="3" s="1"/>
  <c r="D3" i="3"/>
  <c r="F3" i="3" s="1"/>
  <c r="D2" i="3"/>
  <c r="F2" i="3" s="1"/>
  <c r="C5" i="3"/>
  <c r="D5" i="3" s="1"/>
  <c r="F5" i="3" s="1"/>
  <c r="M2" i="1"/>
  <c r="J5" i="1"/>
  <c r="J2" i="1"/>
  <c r="J13" i="1" s="1"/>
  <c r="Q38" i="1"/>
  <c r="Q28" i="1"/>
  <c r="Q37" i="1"/>
  <c r="Q23" i="1"/>
  <c r="Q26" i="1"/>
  <c r="Q25" i="1"/>
  <c r="A1" i="2"/>
  <c r="A2" i="2" s="1"/>
  <c r="E13" i="1"/>
  <c r="C13" i="1"/>
  <c r="J8" i="1"/>
  <c r="N8" i="1" s="1"/>
  <c r="Q8" i="1" s="1"/>
  <c r="D8" i="1"/>
  <c r="F8" i="1" s="1"/>
  <c r="I8" i="1" s="1"/>
  <c r="N2" i="1"/>
  <c r="Q2" i="1" s="1"/>
  <c r="J3" i="1"/>
  <c r="J4" i="1"/>
  <c r="N4" i="1" s="1"/>
  <c r="Q4" i="1" s="1"/>
  <c r="N5" i="1"/>
  <c r="Q5" i="1" s="1"/>
  <c r="J6" i="1"/>
  <c r="J7" i="1"/>
  <c r="N7" i="1" s="1"/>
  <c r="Q7" i="1" s="1"/>
  <c r="J9" i="1"/>
  <c r="N9" i="1" s="1"/>
  <c r="Q9" i="1" s="1"/>
  <c r="D9" i="1"/>
  <c r="F9" i="1" s="1"/>
  <c r="I9" i="1" s="1"/>
  <c r="D7" i="1"/>
  <c r="F7" i="1" s="1"/>
  <c r="I7" i="1" s="1"/>
  <c r="D6" i="1"/>
  <c r="F6" i="1" s="1"/>
  <c r="I6" i="1" s="1"/>
  <c r="D5" i="1"/>
  <c r="F5" i="1" s="1"/>
  <c r="I5" i="1" s="1"/>
  <c r="D4" i="1"/>
  <c r="F4" i="1" s="1"/>
  <c r="I4" i="1" s="1"/>
  <c r="D3" i="1"/>
  <c r="F3" i="1" s="1"/>
  <c r="I3" i="1" s="1"/>
  <c r="D2" i="1"/>
  <c r="I3" i="3" l="1"/>
  <c r="I2" i="3"/>
  <c r="J3" i="3"/>
  <c r="F12" i="3"/>
  <c r="D12" i="3"/>
  <c r="E2" i="3"/>
  <c r="G2" i="3" s="1"/>
  <c r="H2" i="3" s="1"/>
  <c r="N6" i="1"/>
  <c r="Q6" i="1" s="1"/>
  <c r="N3" i="1"/>
  <c r="M8" i="1"/>
  <c r="M4" i="1"/>
  <c r="M7" i="1"/>
  <c r="M6" i="1"/>
  <c r="M9" i="1"/>
  <c r="M5" i="1"/>
  <c r="M3" i="1"/>
  <c r="M13" i="1"/>
  <c r="C16" i="1" s="1"/>
  <c r="D13" i="1"/>
  <c r="F2" i="1"/>
  <c r="I2" i="1" s="1"/>
  <c r="J2" i="3" l="1"/>
  <c r="K2" i="3"/>
  <c r="L2" i="3" s="1"/>
  <c r="N13" i="1"/>
  <c r="Q13" i="1" s="1"/>
  <c r="C15" i="1" s="1"/>
  <c r="Q3" i="1"/>
  <c r="F13" i="1"/>
  <c r="I13" i="1" l="1"/>
  <c r="C17" i="1" s="1"/>
  <c r="C18" i="1" s="1"/>
  <c r="D22" i="1" l="1"/>
  <c r="D35" i="1" s="1"/>
  <c r="Q22" i="1"/>
  <c r="Q39" i="1" s="1"/>
  <c r="Q41" i="1" l="1"/>
  <c r="D37" i="1"/>
  <c r="I5" i="3"/>
  <c r="I4" i="3"/>
  <c r="J4" i="3" s="1"/>
  <c r="E4" i="3"/>
  <c r="G4" i="3" s="1"/>
  <c r="H4" i="3" s="1"/>
  <c r="E5" i="3"/>
  <c r="K5" i="3" l="1"/>
  <c r="L5" i="3" s="1"/>
  <c r="J5" i="3"/>
  <c r="G5" i="3"/>
  <c r="H5" i="3" s="1"/>
  <c r="K4" i="3"/>
  <c r="L4" i="3" s="1"/>
  <c r="K3" i="3"/>
  <c r="L3" i="3" s="1"/>
  <c r="E3" i="3"/>
  <c r="G3" i="3" s="1"/>
  <c r="H3" i="3" s="1"/>
  <c r="I7" i="3" l="1"/>
  <c r="I6" i="3"/>
  <c r="J6" i="3" s="1"/>
  <c r="E7" i="3"/>
  <c r="G7" i="3" s="1"/>
  <c r="H7" i="3" s="1"/>
  <c r="E8" i="3"/>
  <c r="E6" i="3"/>
  <c r="G6" i="3" s="1"/>
  <c r="H6" i="3" s="1"/>
  <c r="I8" i="3"/>
  <c r="K8" i="3" l="1"/>
  <c r="L8" i="3" s="1"/>
  <c r="J8" i="3"/>
  <c r="K7" i="3"/>
  <c r="L7" i="3" s="1"/>
  <c r="J7" i="3"/>
  <c r="J12" i="3" s="1"/>
  <c r="C15" i="3" s="1"/>
  <c r="G8" i="3"/>
  <c r="H8" i="3" s="1"/>
  <c r="H12" i="3" s="1"/>
  <c r="C16" i="3" s="1"/>
  <c r="E12" i="3"/>
  <c r="I12" i="3"/>
  <c r="K6" i="3"/>
  <c r="K12" i="3" l="1"/>
  <c r="L6" i="3"/>
  <c r="L12" i="3" s="1"/>
  <c r="C14" i="3" s="1"/>
  <c r="C17" i="3" s="1"/>
  <c r="G12" i="3"/>
  <c r="D21" i="3" l="1"/>
  <c r="D36" i="3" s="1"/>
  <c r="Q36" i="3"/>
  <c r="Q38" i="3" s="1"/>
</calcChain>
</file>

<file path=xl/sharedStrings.xml><?xml version="1.0" encoding="utf-8"?>
<sst xmlns="http://schemas.openxmlformats.org/spreadsheetml/2006/main" count="158" uniqueCount="69">
  <si>
    <t>ФОТ</t>
  </si>
  <si>
    <t>НС 0,2%</t>
  </si>
  <si>
    <t>НДФЛ 13%</t>
  </si>
  <si>
    <t>НДФЛ в год</t>
  </si>
  <si>
    <t>бухгалтер</t>
  </si>
  <si>
    <t>кассир</t>
  </si>
  <si>
    <t>*</t>
  </si>
  <si>
    <t>руб.</t>
  </si>
  <si>
    <t>НДФЛ</t>
  </si>
  <si>
    <t>налоги на ФОТ</t>
  </si>
  <si>
    <t>ИТОГО за год</t>
  </si>
  <si>
    <t>расходы на содержание персонала</t>
  </si>
  <si>
    <t>банковские расходы (терминал + обслуж. счетов)</t>
  </si>
  <si>
    <t>канцтовары</t>
  </si>
  <si>
    <t>налог на землю</t>
  </si>
  <si>
    <t>налог УСН</t>
  </si>
  <si>
    <t>уличное освещение</t>
  </si>
  <si>
    <t>сумма чл. взноса с 1 сотки</t>
  </si>
  <si>
    <t>электронная отчетность</t>
  </si>
  <si>
    <t>вывоз мусора (БГС)</t>
  </si>
  <si>
    <t>модернизация электросети (+ расх. на материалы)</t>
  </si>
  <si>
    <t>Итого:</t>
  </si>
  <si>
    <t>ИТОГО:</t>
  </si>
  <si>
    <t>электрик 1</t>
  </si>
  <si>
    <t>з/п к выплате</t>
  </si>
  <si>
    <t>з/п за год к выплате</t>
  </si>
  <si>
    <t>ПФР 30,2%</t>
  </si>
  <si>
    <t>ПФР в год</t>
  </si>
  <si>
    <t>ПФР в месяц</t>
  </si>
  <si>
    <t>электроэнергия насосов</t>
  </si>
  <si>
    <t>членский взнос с 1 сотки на осн. расходов за год</t>
  </si>
  <si>
    <r>
      <rPr>
        <b/>
        <sz val="14"/>
        <color theme="1"/>
        <rFont val="Calibri"/>
        <family val="2"/>
        <charset val="204"/>
        <scheme val="minor"/>
      </rPr>
      <t>1823 соток</t>
    </r>
    <r>
      <rPr>
        <sz val="14"/>
        <color theme="1"/>
        <rFont val="Calibri"/>
        <family val="2"/>
        <charset val="204"/>
        <scheme val="minor"/>
      </rPr>
      <t xml:space="preserve"> без территорий общего пользования согласно реестра</t>
    </r>
  </si>
  <si>
    <t>председатель</t>
  </si>
  <si>
    <t>водолей 1 (моторист насосной)</t>
  </si>
  <si>
    <t>водолей 2 (моторист насосной)</t>
  </si>
  <si>
    <t>разнорабочий (работник на площадкеТБО)</t>
  </si>
  <si>
    <t>услуги юриста</t>
  </si>
  <si>
    <t xml:space="preserve"> </t>
  </si>
  <si>
    <t>электронная отчетность+ 1С</t>
  </si>
  <si>
    <t>ремонтные и хоз. работы в ТСН (+материалы, авансовые)</t>
  </si>
  <si>
    <t>банковские расходы (терминал+обсл.счетов+комиссия за з/п)</t>
  </si>
  <si>
    <t>Насос на скважину</t>
  </si>
  <si>
    <t>юридические услуги</t>
  </si>
  <si>
    <t>Расходы на веб-сайт</t>
  </si>
  <si>
    <t>Оплата за размещение линий электропередачи ТСН СНТ Селена</t>
  </si>
  <si>
    <t>Приобретение кабеля СИП</t>
  </si>
  <si>
    <t>Оплата за предоставление доступа к сети передачи данных</t>
  </si>
  <si>
    <t>канцтовары с августа 2023 по июль 2024</t>
  </si>
  <si>
    <t>вывоз мусора (БГС) с августа 2023 по июль 2024</t>
  </si>
  <si>
    <t>электроэнергия насосов за год (38615 кВт)</t>
  </si>
  <si>
    <t>Оплата за размещение линий электропередачи в ТСН Селена</t>
  </si>
  <si>
    <t>расходы на оплату труда</t>
  </si>
  <si>
    <t>Штатное на 2025 год</t>
  </si>
  <si>
    <t>СМЕТА на 2025 г. (предполагаемые расходы)</t>
  </si>
  <si>
    <t>электрик 2</t>
  </si>
  <si>
    <t>Предлагается членский взнос 2000 руб./сотка</t>
  </si>
  <si>
    <t>ремонтные и хоз. работы в ТСН + реконструкция  водопровода</t>
  </si>
  <si>
    <t>К выплате на карты сотрудникам за год</t>
  </si>
  <si>
    <t>Расходы с 01.08.2024 по 01.08.2025 г. (расходы ТСН)</t>
  </si>
  <si>
    <t>МРОТ на 2026 год</t>
  </si>
  <si>
    <t>коэффициент индексации</t>
  </si>
  <si>
    <t>ПФР 30,0%</t>
  </si>
  <si>
    <t>Сумма взносов в месяц</t>
  </si>
  <si>
    <t>Штатное на 2026 год</t>
  </si>
  <si>
    <t xml:space="preserve">электрик </t>
  </si>
  <si>
    <t>канцтовары с августа 2024 по август 2025</t>
  </si>
  <si>
    <t>вывоз мусора (БГС) августа 2024 по август 2025</t>
  </si>
  <si>
    <t>Счетчик воды на скважину</t>
  </si>
  <si>
    <t>Предлагается членский взнос 2400 руб./сотка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</si>
</sst>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2" fontId="2" fillId="2" borderId="21" xfId="0" applyNumberFormat="1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2" fillId="2" borderId="21" xfId="0" applyNumberFormat="1" applyFont="1" applyFill="1" applyBorder="1" applyAlignment="1">
      <alignment wrapText="1"/>
    </xf>
    <xf numFmtId="0" fontId="2" fillId="2" borderId="14" xfId="0" applyFont="1" applyFill="1" applyBorder="1"/>
    <xf numFmtId="0" fontId="2" fillId="2" borderId="16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2" fillId="2" borderId="24" xfId="0" applyNumberFormat="1" applyFont="1" applyFill="1" applyBorder="1" applyAlignment="1">
      <alignment wrapText="1"/>
    </xf>
    <xf numFmtId="1" fontId="2" fillId="2" borderId="24" xfId="0" applyNumberFormat="1" applyFont="1" applyFill="1" applyBorder="1" applyAlignment="1">
      <alignment wrapText="1"/>
    </xf>
    <xf numFmtId="0" fontId="2" fillId="0" borderId="0" xfId="0" applyFont="1"/>
    <xf numFmtId="0" fontId="2" fillId="0" borderId="15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28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2" fontId="2" fillId="2" borderId="25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wrapText="1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11" xfId="0" applyFont="1" applyFill="1" applyBorder="1"/>
    <xf numFmtId="0" fontId="2" fillId="2" borderId="17" xfId="0" applyFont="1" applyFill="1" applyBorder="1"/>
    <xf numFmtId="0" fontId="2" fillId="2" borderId="37" xfId="0" applyFont="1" applyFill="1" applyBorder="1"/>
    <xf numFmtId="0" fontId="1" fillId="2" borderId="1" xfId="0" applyFont="1" applyFill="1" applyBorder="1"/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7" xfId="0" applyNumberFormat="1" applyFont="1" applyFill="1" applyBorder="1"/>
    <xf numFmtId="164" fontId="2" fillId="2" borderId="11" xfId="0" applyNumberFormat="1" applyFont="1" applyFill="1" applyBorder="1"/>
    <xf numFmtId="164" fontId="2" fillId="2" borderId="17" xfId="0" applyNumberFormat="1" applyFont="1" applyFill="1" applyBorder="1"/>
    <xf numFmtId="164" fontId="2" fillId="2" borderId="37" xfId="0" applyNumberFormat="1" applyFont="1" applyFill="1" applyBorder="1"/>
    <xf numFmtId="164" fontId="1" fillId="2" borderId="1" xfId="0" applyNumberFormat="1" applyFont="1" applyFill="1" applyBorder="1"/>
    <xf numFmtId="164" fontId="2" fillId="2" borderId="0" xfId="0" applyNumberFormat="1" applyFont="1" applyFill="1"/>
    <xf numFmtId="1" fontId="2" fillId="2" borderId="8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wrapText="1"/>
    </xf>
    <xf numFmtId="1" fontId="2" fillId="0" borderId="0" xfId="0" applyNumberFormat="1" applyFont="1"/>
    <xf numFmtId="1" fontId="2" fillId="2" borderId="26" xfId="0" applyNumberFormat="1" applyFont="1" applyFill="1" applyBorder="1" applyAlignment="1">
      <alignment wrapText="1"/>
    </xf>
    <xf numFmtId="1" fontId="2" fillId="2" borderId="3" xfId="0" applyNumberFormat="1" applyFont="1" applyFill="1" applyBorder="1" applyAlignment="1">
      <alignment wrapText="1"/>
    </xf>
    <xf numFmtId="4" fontId="2" fillId="2" borderId="0" xfId="0" applyNumberFormat="1" applyFont="1" applyFill="1"/>
    <xf numFmtId="0" fontId="1" fillId="2" borderId="23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 wrapText="1"/>
    </xf>
    <xf numFmtId="4" fontId="2" fillId="2" borderId="7" xfId="0" applyNumberFormat="1" applyFont="1" applyFill="1" applyBorder="1" applyAlignment="1">
      <alignment wrapText="1"/>
    </xf>
    <xf numFmtId="4" fontId="2" fillId="2" borderId="21" xfId="0" applyNumberFormat="1" applyFont="1" applyFill="1" applyBorder="1" applyAlignment="1">
      <alignment wrapText="1"/>
    </xf>
    <xf numFmtId="4" fontId="2" fillId="2" borderId="11" xfId="0" applyNumberFormat="1" applyFont="1" applyFill="1" applyBorder="1" applyAlignment="1">
      <alignment wrapText="1"/>
    </xf>
    <xf numFmtId="4" fontId="2" fillId="2" borderId="24" xfId="0" applyNumberFormat="1" applyFont="1" applyFill="1" applyBorder="1" applyAlignment="1">
      <alignment wrapText="1"/>
    </xf>
    <xf numFmtId="4" fontId="2" fillId="0" borderId="0" xfId="0" applyNumberFormat="1" applyFont="1"/>
    <xf numFmtId="4" fontId="2" fillId="0" borderId="15" xfId="0" applyNumberFormat="1" applyFont="1" applyBorder="1"/>
    <xf numFmtId="4" fontId="2" fillId="0" borderId="35" xfId="0" applyNumberFormat="1" applyFont="1" applyBorder="1"/>
    <xf numFmtId="4" fontId="2" fillId="2" borderId="13" xfId="0" applyNumberFormat="1" applyFont="1" applyFill="1" applyBorder="1" applyAlignment="1">
      <alignment wrapText="1"/>
    </xf>
    <xf numFmtId="4" fontId="2" fillId="2" borderId="15" xfId="0" applyNumberFormat="1" applyFont="1" applyFill="1" applyBorder="1" applyAlignment="1">
      <alignment wrapText="1"/>
    </xf>
    <xf numFmtId="4" fontId="2" fillId="2" borderId="17" xfId="0" applyNumberFormat="1" applyFont="1" applyFill="1" applyBorder="1" applyAlignment="1">
      <alignment wrapText="1"/>
    </xf>
    <xf numFmtId="4" fontId="2" fillId="2" borderId="26" xfId="0" applyNumberFormat="1" applyFont="1" applyFill="1" applyBorder="1" applyAlignment="1">
      <alignment wrapText="1"/>
    </xf>
    <xf numFmtId="4" fontId="2" fillId="2" borderId="27" xfId="0" applyNumberFormat="1" applyFont="1" applyFill="1" applyBorder="1" applyAlignment="1">
      <alignment wrapText="1"/>
    </xf>
    <xf numFmtId="4" fontId="2" fillId="2" borderId="34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3" xfId="0" applyNumberFormat="1" applyFont="1" applyFill="1" applyBorder="1" applyAlignment="1">
      <alignment wrapText="1"/>
    </xf>
    <xf numFmtId="4" fontId="2" fillId="2" borderId="5" xfId="0" applyNumberFormat="1" applyFont="1" applyFill="1" applyBorder="1" applyAlignment="1">
      <alignment wrapText="1"/>
    </xf>
    <xf numFmtId="4" fontId="2" fillId="2" borderId="25" xfId="0" applyNumberFormat="1" applyFont="1" applyFill="1" applyBorder="1" applyAlignment="1">
      <alignment wrapText="1"/>
    </xf>
    <xf numFmtId="4" fontId="2" fillId="2" borderId="16" xfId="0" applyNumberFormat="1" applyFont="1" applyFill="1" applyBorder="1"/>
    <xf numFmtId="4" fontId="2" fillId="0" borderId="36" xfId="0" applyNumberFormat="1" applyFont="1" applyBorder="1"/>
    <xf numFmtId="4" fontId="2" fillId="2" borderId="28" xfId="0" applyNumberFormat="1" applyFont="1" applyFill="1" applyBorder="1"/>
    <xf numFmtId="4" fontId="2" fillId="2" borderId="7" xfId="0" applyNumberFormat="1" applyFont="1" applyFill="1" applyBorder="1"/>
    <xf numFmtId="4" fontId="2" fillId="2" borderId="11" xfId="0" applyNumberFormat="1" applyFont="1" applyFill="1" applyBorder="1"/>
    <xf numFmtId="4" fontId="2" fillId="2" borderId="17" xfId="0" applyNumberFormat="1" applyFont="1" applyFill="1" applyBorder="1"/>
    <xf numFmtId="4" fontId="2" fillId="2" borderId="37" xfId="0" applyNumberFormat="1" applyFont="1" applyFill="1" applyBorder="1"/>
    <xf numFmtId="4" fontId="1" fillId="2" borderId="1" xfId="0" applyNumberFormat="1" applyFont="1" applyFill="1" applyBorder="1"/>
    <xf numFmtId="0" fontId="2" fillId="2" borderId="22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0" fillId="0" borderId="23" xfId="0" applyBorder="1"/>
    <xf numFmtId="0" fontId="2" fillId="2" borderId="29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left" wrapText="1"/>
    </xf>
    <xf numFmtId="0" fontId="1" fillId="2" borderId="20" xfId="0" applyFont="1" applyFill="1" applyBorder="1"/>
    <xf numFmtId="0" fontId="2" fillId="2" borderId="2" xfId="0" applyFont="1" applyFill="1" applyBorder="1"/>
    <xf numFmtId="0" fontId="1" fillId="2" borderId="2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12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18" xfId="0" applyFont="1" applyFill="1" applyBorder="1"/>
    <xf numFmtId="0" fontId="2" fillId="2" borderId="38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165" fontId="2" fillId="2" borderId="11" xfId="0" applyNumberFormat="1" applyFont="1" applyFill="1" applyBorder="1"/>
    <xf numFmtId="165" fontId="2" fillId="2" borderId="17" xfId="0" applyNumberFormat="1" applyFont="1" applyFill="1" applyBorder="1"/>
    <xf numFmtId="165" fontId="2" fillId="2" borderId="37" xfId="0" applyNumberFormat="1" applyFont="1" applyFill="1" applyBorder="1"/>
    <xf numFmtId="165" fontId="1" fillId="2" borderId="1" xfId="0" applyNumberFormat="1" applyFont="1" applyFill="1" applyBorder="1"/>
    <xf numFmtId="165" fontId="2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54F1-692A-4DEB-B41C-413FE49A96A2}">
  <sheetPr>
    <pageSetUpPr fitToPage="1"/>
  </sheetPr>
  <dimension ref="A1:R44"/>
  <sheetViews>
    <sheetView tabSelected="1" view="pageLayout" zoomScale="55" zoomScaleSheetLayoutView="106" zoomScalePageLayoutView="55" workbookViewId="0">
      <selection activeCell="D35" sqref="D35"/>
    </sheetView>
  </sheetViews>
  <sheetFormatPr defaultRowHeight="14.4" x14ac:dyDescent="0.3"/>
  <cols>
    <col min="1" max="1" width="38.88671875" customWidth="1"/>
    <col min="2" max="2" width="14" customWidth="1"/>
    <col min="3" max="3" width="17.109375" customWidth="1"/>
    <col min="4" max="4" width="15.6640625" customWidth="1"/>
    <col min="5" max="5" width="13" customWidth="1"/>
    <col min="6" max="6" width="18.44140625" customWidth="1"/>
    <col min="7" max="7" width="15.44140625" bestFit="1" customWidth="1"/>
    <col min="8" max="8" width="15.77734375" customWidth="1"/>
    <col min="9" max="9" width="16.109375" customWidth="1"/>
    <col min="10" max="10" width="15.109375" customWidth="1"/>
    <col min="11" max="11" width="13.33203125" bestFit="1" customWidth="1"/>
    <col min="12" max="12" width="15.109375" bestFit="1" customWidth="1"/>
    <col min="13" max="13" width="16" customWidth="1"/>
    <col min="14" max="14" width="20.6640625" customWidth="1"/>
    <col min="15" max="15" width="11.109375" customWidth="1"/>
    <col min="16" max="16" width="4.44140625" customWidth="1"/>
    <col min="17" max="17" width="26" customWidth="1"/>
    <col min="18" max="18" width="14.44140625" bestFit="1" customWidth="1"/>
  </cols>
  <sheetData>
    <row r="1" spans="1:18" ht="63" customHeight="1" thickBot="1" x14ac:dyDescent="0.4">
      <c r="A1" s="105" t="s">
        <v>63</v>
      </c>
      <c r="B1" s="106"/>
      <c r="C1" s="3" t="s">
        <v>60</v>
      </c>
      <c r="D1" s="2" t="s">
        <v>0</v>
      </c>
      <c r="E1" s="3" t="s">
        <v>61</v>
      </c>
      <c r="F1" s="4" t="s">
        <v>1</v>
      </c>
      <c r="G1" s="5" t="s">
        <v>62</v>
      </c>
      <c r="H1" s="7" t="s">
        <v>27</v>
      </c>
      <c r="I1" s="3" t="s">
        <v>2</v>
      </c>
      <c r="J1" s="4" t="s">
        <v>3</v>
      </c>
      <c r="K1" s="8" t="s">
        <v>24</v>
      </c>
      <c r="L1" s="2" t="s">
        <v>25</v>
      </c>
      <c r="M1" s="1"/>
    </row>
    <row r="2" spans="1:18" ht="18.600000000000001" thickBot="1" x14ac:dyDescent="0.4">
      <c r="A2" s="107" t="s">
        <v>32</v>
      </c>
      <c r="B2" s="108"/>
      <c r="C2" s="11">
        <v>2.0499999999999998</v>
      </c>
      <c r="D2" s="78">
        <f>C2*C13</f>
        <v>55540.649999999994</v>
      </c>
      <c r="E2" s="78">
        <f>D2*30.2%</f>
        <v>16773.276299999998</v>
      </c>
      <c r="F2" s="78">
        <f t="shared" ref="F2:F7" si="0">D2*0.2%</f>
        <v>111.08129999999998</v>
      </c>
      <c r="G2" s="79">
        <f t="shared" ref="G2:G8" si="1">E2+F2</f>
        <v>16884.357599999999</v>
      </c>
      <c r="H2" s="79">
        <f>G2*12</f>
        <v>202612.29119999998</v>
      </c>
      <c r="I2" s="69">
        <f t="shared" ref="I2:I8" si="2">D2*13%</f>
        <v>7220.2844999999998</v>
      </c>
      <c r="J2" s="73">
        <f>I2*12</f>
        <v>86643.41399999999</v>
      </c>
      <c r="K2" s="79">
        <f t="shared" ref="K2:K8" si="3">D2-I2</f>
        <v>48320.365499999993</v>
      </c>
      <c r="L2" s="95">
        <f>K2*12</f>
        <v>579844.38599999994</v>
      </c>
      <c r="M2" s="1"/>
    </row>
    <row r="3" spans="1:18" ht="18.600000000000001" thickBot="1" x14ac:dyDescent="0.4">
      <c r="A3" s="103" t="s">
        <v>4</v>
      </c>
      <c r="B3" s="104"/>
      <c r="C3" s="11">
        <v>0.65</v>
      </c>
      <c r="D3" s="80">
        <f>C13*C3</f>
        <v>17610.45</v>
      </c>
      <c r="E3" s="78">
        <f t="shared" ref="E3:E8" si="4">D3*30.2%</f>
        <v>5318.3559000000005</v>
      </c>
      <c r="F3" s="78">
        <f t="shared" si="0"/>
        <v>35.2209</v>
      </c>
      <c r="G3" s="81">
        <f t="shared" si="1"/>
        <v>5353.5768000000007</v>
      </c>
      <c r="H3" s="79">
        <f t="shared" ref="H3:H8" si="5">G3*12</f>
        <v>64242.921600000009</v>
      </c>
      <c r="I3" s="70">
        <f t="shared" si="2"/>
        <v>2289.3585000000003</v>
      </c>
      <c r="J3" s="73">
        <f t="shared" ref="J3:J8" si="6">I3*12</f>
        <v>27472.302000000003</v>
      </c>
      <c r="K3" s="81">
        <f t="shared" si="3"/>
        <v>15321.0915</v>
      </c>
      <c r="L3" s="95">
        <f t="shared" ref="L3:L8" si="7">K3*12</f>
        <v>183853.098</v>
      </c>
      <c r="M3" s="1"/>
    </row>
    <row r="4" spans="1:18" ht="18.600000000000001" thickBot="1" x14ac:dyDescent="0.4">
      <c r="A4" s="103" t="s">
        <v>64</v>
      </c>
      <c r="B4" s="104"/>
      <c r="C4" s="11">
        <v>0.7</v>
      </c>
      <c r="D4" s="80">
        <f>C4*C13</f>
        <v>18965.099999999999</v>
      </c>
      <c r="E4" s="78">
        <f t="shared" si="4"/>
        <v>5727.4601999999995</v>
      </c>
      <c r="F4" s="78">
        <f t="shared" si="0"/>
        <v>37.930199999999999</v>
      </c>
      <c r="G4" s="81">
        <f t="shared" si="1"/>
        <v>5765.3903999999993</v>
      </c>
      <c r="H4" s="79">
        <f t="shared" si="5"/>
        <v>69184.684799999988</v>
      </c>
      <c r="I4" s="70">
        <f t="shared" si="2"/>
        <v>2465.4629999999997</v>
      </c>
      <c r="J4" s="73">
        <f t="shared" si="6"/>
        <v>29585.555999999997</v>
      </c>
      <c r="K4" s="81">
        <f t="shared" si="3"/>
        <v>16499.636999999999</v>
      </c>
      <c r="L4" s="95">
        <f t="shared" si="7"/>
        <v>197995.64399999997</v>
      </c>
      <c r="M4" s="1"/>
    </row>
    <row r="5" spans="1:18" ht="18.600000000000001" thickBot="1" x14ac:dyDescent="0.4">
      <c r="A5" s="103" t="s">
        <v>5</v>
      </c>
      <c r="B5" s="104"/>
      <c r="C5" s="11">
        <f>1.3-0.64</f>
        <v>0.66</v>
      </c>
      <c r="D5" s="80">
        <f>C5*C13</f>
        <v>17881.38</v>
      </c>
      <c r="E5" s="78">
        <f t="shared" si="4"/>
        <v>5400.1767600000003</v>
      </c>
      <c r="F5" s="78">
        <f t="shared" si="0"/>
        <v>35.76276</v>
      </c>
      <c r="G5" s="81">
        <f t="shared" si="1"/>
        <v>5435.9395199999999</v>
      </c>
      <c r="H5" s="79">
        <f t="shared" si="5"/>
        <v>65231.274239999999</v>
      </c>
      <c r="I5" s="70">
        <f t="shared" si="2"/>
        <v>2324.5794000000001</v>
      </c>
      <c r="J5" s="73">
        <f t="shared" si="6"/>
        <v>27894.952799999999</v>
      </c>
      <c r="K5" s="81">
        <f t="shared" si="3"/>
        <v>15556.8006</v>
      </c>
      <c r="L5" s="95">
        <f t="shared" si="7"/>
        <v>186681.6072</v>
      </c>
      <c r="M5" s="1"/>
    </row>
    <row r="6" spans="1:18" ht="18.600000000000001" thickBot="1" x14ac:dyDescent="0.4">
      <c r="A6" s="103" t="s">
        <v>33</v>
      </c>
      <c r="B6" s="104"/>
      <c r="C6" s="11">
        <v>1.07</v>
      </c>
      <c r="D6" s="80">
        <f>C6*C13</f>
        <v>28989.510000000002</v>
      </c>
      <c r="E6" s="78">
        <f t="shared" si="4"/>
        <v>8754.8320199999998</v>
      </c>
      <c r="F6" s="78">
        <f t="shared" si="0"/>
        <v>57.979020000000006</v>
      </c>
      <c r="G6" s="81">
        <f t="shared" si="1"/>
        <v>8812.8110400000005</v>
      </c>
      <c r="H6" s="79">
        <f t="shared" si="5"/>
        <v>105753.73248000001</v>
      </c>
      <c r="I6" s="70">
        <f t="shared" si="2"/>
        <v>3768.6363000000006</v>
      </c>
      <c r="J6" s="73">
        <f t="shared" si="6"/>
        <v>45223.635600000009</v>
      </c>
      <c r="K6" s="81">
        <f t="shared" si="3"/>
        <v>25220.8737</v>
      </c>
      <c r="L6" s="95">
        <f t="shared" si="7"/>
        <v>302650.48440000002</v>
      </c>
      <c r="M6" s="1"/>
    </row>
    <row r="7" spans="1:18" ht="18.600000000000001" thickBot="1" x14ac:dyDescent="0.4">
      <c r="A7" s="103" t="s">
        <v>34</v>
      </c>
      <c r="B7" s="104"/>
      <c r="C7" s="11">
        <v>0.64</v>
      </c>
      <c r="D7" s="80">
        <f>C7*C13</f>
        <v>17339.52</v>
      </c>
      <c r="E7" s="78">
        <f>D7*30.2%</f>
        <v>5236.5350399999998</v>
      </c>
      <c r="F7" s="78">
        <f t="shared" si="0"/>
        <v>34.679040000000001</v>
      </c>
      <c r="G7" s="81">
        <f t="shared" si="1"/>
        <v>5271.2140799999997</v>
      </c>
      <c r="H7" s="79">
        <f t="shared" si="5"/>
        <v>63254.568959999997</v>
      </c>
      <c r="I7" s="70">
        <f t="shared" si="2"/>
        <v>2254.1376</v>
      </c>
      <c r="J7" s="73">
        <f t="shared" si="6"/>
        <v>27049.6512</v>
      </c>
      <c r="K7" s="81">
        <f t="shared" si="3"/>
        <v>15085.3824</v>
      </c>
      <c r="L7" s="95">
        <f t="shared" si="7"/>
        <v>181024.5888</v>
      </c>
      <c r="M7" s="1"/>
    </row>
    <row r="8" spans="1:18" ht="18.600000000000001" thickBot="1" x14ac:dyDescent="0.4">
      <c r="A8" s="103" t="s">
        <v>35</v>
      </c>
      <c r="B8" s="104"/>
      <c r="C8" s="11">
        <v>0.45</v>
      </c>
      <c r="D8" s="80">
        <f>C8*C13</f>
        <v>12191.85</v>
      </c>
      <c r="E8" s="78">
        <f t="shared" si="4"/>
        <v>3681.9387000000002</v>
      </c>
      <c r="F8" s="78">
        <f t="shared" ref="F8" si="8">D8*0.2%</f>
        <v>24.383700000000001</v>
      </c>
      <c r="G8" s="81">
        <f t="shared" si="1"/>
        <v>3706.3224</v>
      </c>
      <c r="H8" s="79">
        <f t="shared" si="5"/>
        <v>44475.868799999997</v>
      </c>
      <c r="I8" s="70">
        <f t="shared" si="2"/>
        <v>1584.9405000000002</v>
      </c>
      <c r="J8" s="73">
        <f t="shared" si="6"/>
        <v>19019.286</v>
      </c>
      <c r="K8" s="81">
        <f t="shared" si="3"/>
        <v>10606.9095</v>
      </c>
      <c r="L8" s="95">
        <f t="shared" si="7"/>
        <v>127282.91399999999</v>
      </c>
      <c r="M8" s="1"/>
    </row>
    <row r="9" spans="1:18" ht="18.600000000000001" thickBot="1" x14ac:dyDescent="0.4">
      <c r="A9" s="115"/>
      <c r="B9" s="116"/>
      <c r="C9" s="76"/>
      <c r="D9" s="80"/>
      <c r="E9" s="82"/>
      <c r="F9" s="83"/>
      <c r="G9" s="84"/>
      <c r="H9" s="16"/>
      <c r="I9" s="71"/>
      <c r="J9" s="73"/>
      <c r="K9" s="96"/>
      <c r="L9" s="95"/>
      <c r="M9" s="1"/>
    </row>
    <row r="10" spans="1:18" ht="18.600000000000001" thickBot="1" x14ac:dyDescent="0.4">
      <c r="A10" s="115"/>
      <c r="B10" s="116"/>
      <c r="C10" s="76"/>
      <c r="D10" s="80"/>
      <c r="E10" s="85"/>
      <c r="F10" s="86"/>
      <c r="G10" s="81"/>
      <c r="H10" s="16"/>
      <c r="I10" s="70"/>
      <c r="J10" s="73"/>
      <c r="K10" s="81"/>
      <c r="L10" s="95"/>
      <c r="M10" s="1"/>
    </row>
    <row r="11" spans="1:18" ht="18.600000000000001" thickBot="1" x14ac:dyDescent="0.4">
      <c r="A11" s="117"/>
      <c r="B11" s="118"/>
      <c r="C11" s="77"/>
      <c r="D11" s="87"/>
      <c r="E11" s="88"/>
      <c r="F11" s="89"/>
      <c r="G11" s="90"/>
      <c r="H11" s="35"/>
      <c r="I11" s="72"/>
      <c r="J11" s="73"/>
      <c r="K11" s="90"/>
      <c r="L11" s="97"/>
      <c r="M11" s="1"/>
    </row>
    <row r="12" spans="1:18" ht="18.600000000000001" thickBot="1" x14ac:dyDescent="0.4">
      <c r="A12" s="105" t="s">
        <v>22</v>
      </c>
      <c r="B12" s="119"/>
      <c r="C12" s="75"/>
      <c r="D12" s="91">
        <f t="shared" ref="D12:L12" si="9">SUM(D2:D8)</f>
        <v>168518.46</v>
      </c>
      <c r="E12" s="92">
        <f t="shared" si="9"/>
        <v>50892.574920000006</v>
      </c>
      <c r="F12" s="93">
        <f t="shared" si="9"/>
        <v>337.03691999999995</v>
      </c>
      <c r="G12" s="94">
        <f t="shared" si="9"/>
        <v>51229.611839999998</v>
      </c>
      <c r="H12" s="94">
        <f t="shared" si="9"/>
        <v>614755.34207999986</v>
      </c>
      <c r="I12" s="73">
        <f t="shared" si="9"/>
        <v>21907.399800000003</v>
      </c>
      <c r="J12" s="73">
        <f t="shared" si="9"/>
        <v>262888.79759999999</v>
      </c>
      <c r="K12" s="94">
        <f t="shared" si="9"/>
        <v>146611.06020000001</v>
      </c>
      <c r="L12" s="94">
        <f t="shared" si="9"/>
        <v>1759332.7223999999</v>
      </c>
      <c r="M12" s="1"/>
    </row>
    <row r="13" spans="1:18" ht="18" x14ac:dyDescent="0.35">
      <c r="A13" s="47" t="s">
        <v>59</v>
      </c>
      <c r="B13" s="47"/>
      <c r="C13" s="74">
        <v>27093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1"/>
    </row>
    <row r="14" spans="1:18" ht="18" x14ac:dyDescent="0.35">
      <c r="A14" s="47" t="s">
        <v>57</v>
      </c>
      <c r="B14" s="47"/>
      <c r="C14" s="74">
        <f>L12</f>
        <v>1759332.7223999999</v>
      </c>
      <c r="D14" s="47" t="s">
        <v>7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 t="s">
        <v>37</v>
      </c>
      <c r="Q14" s="47"/>
      <c r="R14" s="1"/>
    </row>
    <row r="15" spans="1:18" ht="18" x14ac:dyDescent="0.35">
      <c r="A15" s="47" t="s">
        <v>8</v>
      </c>
      <c r="B15" s="47"/>
      <c r="C15" s="74">
        <f>J12</f>
        <v>262888.79759999999</v>
      </c>
      <c r="D15" s="47" t="s">
        <v>7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1"/>
    </row>
    <row r="16" spans="1:18" ht="18" x14ac:dyDescent="0.35">
      <c r="A16" s="47" t="s">
        <v>9</v>
      </c>
      <c r="B16" s="47"/>
      <c r="C16" s="74">
        <f>H12</f>
        <v>614755.34207999986</v>
      </c>
      <c r="D16" s="47" t="s">
        <v>7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1"/>
    </row>
    <row r="17" spans="1:18" ht="18" x14ac:dyDescent="0.35">
      <c r="A17" s="47" t="s">
        <v>10</v>
      </c>
      <c r="B17" s="47"/>
      <c r="C17" s="74">
        <f>C14+C15+C16</f>
        <v>2636976.8620799994</v>
      </c>
      <c r="D17" s="47" t="s">
        <v>7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1"/>
    </row>
    <row r="18" spans="1:18" ht="18" x14ac:dyDescent="0.3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1"/>
    </row>
    <row r="19" spans="1:18" ht="18.600000000000001" thickBot="1" x14ac:dyDescent="0.4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1"/>
    </row>
    <row r="20" spans="1:18" ht="18.600000000000001" thickBot="1" x14ac:dyDescent="0.4">
      <c r="A20" s="120" t="s">
        <v>53</v>
      </c>
      <c r="B20" s="121"/>
      <c r="C20" s="121"/>
      <c r="D20" s="48"/>
      <c r="E20" s="47"/>
      <c r="F20" s="47"/>
      <c r="G20" s="47"/>
      <c r="H20" s="47"/>
      <c r="I20" s="122" t="s">
        <v>58</v>
      </c>
      <c r="J20" s="123"/>
      <c r="K20" s="123"/>
      <c r="L20" s="123"/>
      <c r="M20" s="123"/>
      <c r="N20" s="123"/>
      <c r="O20" s="123"/>
      <c r="P20" s="124"/>
      <c r="Q20" s="48"/>
      <c r="R20" s="1"/>
    </row>
    <row r="21" spans="1:18" ht="18" x14ac:dyDescent="0.35">
      <c r="A21" s="125" t="s">
        <v>51</v>
      </c>
      <c r="B21" s="126"/>
      <c r="C21" s="127"/>
      <c r="D21" s="98">
        <f>C17</f>
        <v>2636976.8620799994</v>
      </c>
      <c r="E21" s="47"/>
      <c r="F21" s="47"/>
      <c r="G21" s="47"/>
      <c r="H21" s="47"/>
      <c r="I21" s="112" t="s">
        <v>11</v>
      </c>
      <c r="J21" s="113"/>
      <c r="K21" s="113"/>
      <c r="L21" s="113"/>
      <c r="M21" s="113"/>
      <c r="N21" s="113"/>
      <c r="O21" s="113"/>
      <c r="P21" s="114"/>
      <c r="Q21" s="142">
        <v>2088522.5759999994</v>
      </c>
      <c r="R21" s="1"/>
    </row>
    <row r="22" spans="1:18" ht="18" x14ac:dyDescent="0.35">
      <c r="A22" s="109" t="s">
        <v>46</v>
      </c>
      <c r="B22" s="110"/>
      <c r="C22" s="111"/>
      <c r="D22" s="98">
        <v>23400</v>
      </c>
      <c r="E22" s="47"/>
      <c r="F22" s="47"/>
      <c r="G22" s="47"/>
      <c r="H22" s="47"/>
      <c r="I22" s="112" t="s">
        <v>38</v>
      </c>
      <c r="J22" s="113"/>
      <c r="K22" s="113"/>
      <c r="L22" s="113"/>
      <c r="M22" s="113"/>
      <c r="N22" s="113"/>
      <c r="O22" s="113"/>
      <c r="P22" s="114"/>
      <c r="Q22" s="142">
        <f>20880+7820+1800</f>
        <v>30500</v>
      </c>
      <c r="R22" s="1"/>
    </row>
    <row r="23" spans="1:18" ht="18" x14ac:dyDescent="0.35">
      <c r="A23" s="131" t="s">
        <v>18</v>
      </c>
      <c r="B23" s="132"/>
      <c r="C23" s="132"/>
      <c r="D23" s="99">
        <v>32000</v>
      </c>
      <c r="E23" s="47"/>
      <c r="F23" s="47"/>
      <c r="G23" s="47"/>
      <c r="H23" s="47"/>
      <c r="I23" s="109" t="s">
        <v>46</v>
      </c>
      <c r="J23" s="110"/>
      <c r="K23" s="110"/>
      <c r="L23" s="110"/>
      <c r="M23" s="110"/>
      <c r="N23" s="110"/>
      <c r="O23" s="110"/>
      <c r="P23" s="111"/>
      <c r="Q23" s="142">
        <v>23400</v>
      </c>
      <c r="R23" s="1"/>
    </row>
    <row r="24" spans="1:18" ht="18" x14ac:dyDescent="0.35">
      <c r="A24" s="131" t="s">
        <v>12</v>
      </c>
      <c r="B24" s="132"/>
      <c r="C24" s="132"/>
      <c r="D24" s="99">
        <v>116000</v>
      </c>
      <c r="E24" s="47"/>
      <c r="F24" s="47"/>
      <c r="G24" s="47"/>
      <c r="H24" s="47"/>
      <c r="I24" s="109" t="s">
        <v>40</v>
      </c>
      <c r="J24" s="110"/>
      <c r="K24" s="110"/>
      <c r="L24" s="110"/>
      <c r="M24" s="110"/>
      <c r="N24" s="110"/>
      <c r="O24" s="110"/>
      <c r="P24" s="111"/>
      <c r="Q24" s="142">
        <v>115484.41</v>
      </c>
      <c r="R24" s="1"/>
    </row>
    <row r="25" spans="1:18" ht="18" x14ac:dyDescent="0.35">
      <c r="A25" s="109" t="s">
        <v>13</v>
      </c>
      <c r="B25" s="110"/>
      <c r="C25" s="111"/>
      <c r="D25" s="99">
        <v>5000</v>
      </c>
      <c r="E25" s="47"/>
      <c r="F25" s="47"/>
      <c r="G25" s="47"/>
      <c r="H25" s="47"/>
      <c r="I25" s="109" t="s">
        <v>65</v>
      </c>
      <c r="J25" s="110"/>
      <c r="K25" s="110"/>
      <c r="L25" s="110"/>
      <c r="M25" s="110"/>
      <c r="N25" s="110"/>
      <c r="O25" s="110"/>
      <c r="P25" s="111"/>
      <c r="Q25" s="142">
        <v>3259</v>
      </c>
      <c r="R25" s="1"/>
    </row>
    <row r="26" spans="1:18" ht="18" x14ac:dyDescent="0.35">
      <c r="A26" s="109" t="s">
        <v>19</v>
      </c>
      <c r="B26" s="110"/>
      <c r="C26" s="111"/>
      <c r="D26" s="99">
        <v>600000</v>
      </c>
      <c r="E26" s="47"/>
      <c r="F26" s="47"/>
      <c r="G26" s="47"/>
      <c r="H26" s="47"/>
      <c r="I26" s="109" t="s">
        <v>66</v>
      </c>
      <c r="J26" s="110"/>
      <c r="K26" s="110"/>
      <c r="L26" s="110"/>
      <c r="M26" s="110"/>
      <c r="N26" s="110"/>
      <c r="O26" s="110"/>
      <c r="P26" s="111"/>
      <c r="Q26" s="142">
        <v>597365.41</v>
      </c>
      <c r="R26" s="1"/>
    </row>
    <row r="27" spans="1:18" ht="18" x14ac:dyDescent="0.35">
      <c r="A27" s="109" t="s">
        <v>56</v>
      </c>
      <c r="B27" s="110"/>
      <c r="C27" s="111"/>
      <c r="D27" s="99">
        <v>500000</v>
      </c>
      <c r="E27" s="47"/>
      <c r="F27" s="47"/>
      <c r="G27" s="47"/>
      <c r="H27" s="47"/>
      <c r="I27" s="109" t="s">
        <v>39</v>
      </c>
      <c r="J27" s="110"/>
      <c r="K27" s="110"/>
      <c r="L27" s="110"/>
      <c r="M27" s="110"/>
      <c r="N27" s="110"/>
      <c r="O27" s="110"/>
      <c r="P27" s="111"/>
      <c r="Q27" s="142">
        <f>182072.36+15001.35+13820+6870+1060+26650</f>
        <v>245473.71</v>
      </c>
      <c r="R27" s="1"/>
    </row>
    <row r="28" spans="1:18" ht="18" x14ac:dyDescent="0.35">
      <c r="A28" s="109" t="s">
        <v>14</v>
      </c>
      <c r="B28" s="110"/>
      <c r="C28" s="111"/>
      <c r="D28" s="99">
        <v>12195</v>
      </c>
      <c r="E28" s="47"/>
      <c r="F28" s="47"/>
      <c r="G28" s="47"/>
      <c r="H28" s="47"/>
      <c r="I28" s="109" t="s">
        <v>43</v>
      </c>
      <c r="J28" s="110"/>
      <c r="K28" s="110"/>
      <c r="L28" s="110"/>
      <c r="M28" s="110"/>
      <c r="N28" s="110"/>
      <c r="O28" s="110"/>
      <c r="P28" s="111"/>
      <c r="Q28" s="142">
        <v>8000</v>
      </c>
      <c r="R28" s="1"/>
    </row>
    <row r="29" spans="1:18" ht="18" x14ac:dyDescent="0.35">
      <c r="A29" s="109" t="s">
        <v>50</v>
      </c>
      <c r="B29" s="110"/>
      <c r="C29" s="111"/>
      <c r="D29" s="99">
        <v>24000</v>
      </c>
      <c r="E29" s="47"/>
      <c r="F29" s="47"/>
      <c r="G29" s="47"/>
      <c r="H29" s="47"/>
      <c r="I29" s="109" t="s">
        <v>14</v>
      </c>
      <c r="J29" s="110"/>
      <c r="K29" s="110"/>
      <c r="L29" s="110"/>
      <c r="M29" s="110"/>
      <c r="N29" s="110"/>
      <c r="O29" s="110"/>
      <c r="P29" s="111"/>
      <c r="Q29" s="142">
        <f>3048.75+2971.55+77.2+2971.55+3048.75</f>
        <v>12117.8</v>
      </c>
      <c r="R29" s="1"/>
    </row>
    <row r="30" spans="1:18" ht="18" x14ac:dyDescent="0.35">
      <c r="A30" s="109" t="s">
        <v>16</v>
      </c>
      <c r="B30" s="110"/>
      <c r="C30" s="111"/>
      <c r="D30" s="99">
        <v>50000</v>
      </c>
      <c r="E30" s="47"/>
      <c r="F30" s="47"/>
      <c r="G30" s="47"/>
      <c r="H30" s="47"/>
      <c r="I30" s="109" t="s">
        <v>44</v>
      </c>
      <c r="J30" s="110"/>
      <c r="K30" s="110"/>
      <c r="L30" s="110"/>
      <c r="M30" s="110"/>
      <c r="N30" s="110"/>
      <c r="O30" s="110"/>
      <c r="P30" s="111"/>
      <c r="Q30" s="142">
        <v>12000</v>
      </c>
      <c r="R30" s="1"/>
    </row>
    <row r="31" spans="1:18" ht="18" x14ac:dyDescent="0.35">
      <c r="A31" s="131" t="s">
        <v>29</v>
      </c>
      <c r="B31" s="132"/>
      <c r="C31" s="133"/>
      <c r="D31" s="99">
        <v>250000</v>
      </c>
      <c r="E31" s="47"/>
      <c r="F31" s="47"/>
      <c r="G31" s="47"/>
      <c r="H31" s="47"/>
      <c r="I31" s="109" t="s">
        <v>16</v>
      </c>
      <c r="J31" s="110"/>
      <c r="K31" s="110"/>
      <c r="L31" s="110"/>
      <c r="M31" s="110"/>
      <c r="N31" s="110"/>
      <c r="O31" s="110"/>
      <c r="P31" s="111"/>
      <c r="Q31" s="142">
        <v>50000</v>
      </c>
      <c r="R31" s="1"/>
    </row>
    <row r="32" spans="1:18" ht="18" x14ac:dyDescent="0.35">
      <c r="A32" s="134" t="s">
        <v>11</v>
      </c>
      <c r="B32" s="135"/>
      <c r="C32" s="135"/>
      <c r="D32" s="100">
        <v>30000</v>
      </c>
      <c r="E32" s="47"/>
      <c r="F32" s="47"/>
      <c r="G32" s="47"/>
      <c r="H32" s="47"/>
      <c r="I32" s="109" t="s">
        <v>49</v>
      </c>
      <c r="J32" s="110"/>
      <c r="K32" s="110"/>
      <c r="L32" s="110"/>
      <c r="M32" s="110"/>
      <c r="N32" s="110"/>
      <c r="O32" s="110"/>
      <c r="P32" s="111"/>
      <c r="Q32" s="142">
        <v>221060</v>
      </c>
      <c r="R32" s="1"/>
    </row>
    <row r="33" spans="1:18" ht="18.600000000000001" thickBot="1" x14ac:dyDescent="0.4">
      <c r="A33" s="136" t="s">
        <v>36</v>
      </c>
      <c r="B33" s="137"/>
      <c r="C33" s="138"/>
      <c r="D33" s="101">
        <v>100000</v>
      </c>
      <c r="E33" s="47"/>
      <c r="F33" s="47"/>
      <c r="G33" s="47"/>
      <c r="H33" s="47"/>
      <c r="I33" s="109" t="s">
        <v>67</v>
      </c>
      <c r="J33" s="110"/>
      <c r="K33" s="110"/>
      <c r="L33" s="110"/>
      <c r="M33" s="110"/>
      <c r="N33" s="110"/>
      <c r="O33" s="110"/>
      <c r="P33" s="111"/>
      <c r="Q33" s="142">
        <v>16900</v>
      </c>
      <c r="R33" s="1"/>
    </row>
    <row r="34" spans="1:18" ht="18.600000000000001" thickBot="1" x14ac:dyDescent="0.4">
      <c r="A34" s="120" t="s">
        <v>21</v>
      </c>
      <c r="B34" s="121"/>
      <c r="C34" s="121"/>
      <c r="D34" s="102">
        <f>SUM(D21:D33)</f>
        <v>4379571.8620799994</v>
      </c>
      <c r="E34" s="47"/>
      <c r="F34" s="47"/>
      <c r="G34" s="47"/>
      <c r="H34" s="47"/>
      <c r="I34" s="109" t="s">
        <v>20</v>
      </c>
      <c r="J34" s="110"/>
      <c r="K34" s="110"/>
      <c r="L34" s="110"/>
      <c r="M34" s="110"/>
      <c r="N34" s="110"/>
      <c r="O34" s="110"/>
      <c r="P34" s="111"/>
      <c r="Q34" s="143">
        <f>7644+22848.4+28689+8866+60669.8+16766.95+45797.4-28701.16-5932.98-32989.6</f>
        <v>123657.80999999997</v>
      </c>
      <c r="R34" s="1"/>
    </row>
    <row r="35" spans="1:18" ht="18.600000000000001" thickBot="1" x14ac:dyDescent="0.4">
      <c r="A35" s="47"/>
      <c r="B35" s="47"/>
      <c r="C35" s="47"/>
      <c r="D35" s="47"/>
      <c r="E35" s="47"/>
      <c r="F35" s="47"/>
      <c r="G35" s="47"/>
      <c r="H35" s="47"/>
      <c r="I35" s="136" t="s">
        <v>42</v>
      </c>
      <c r="J35" s="137"/>
      <c r="K35" s="137"/>
      <c r="L35" s="137"/>
      <c r="M35" s="137"/>
      <c r="N35" s="137"/>
      <c r="O35" s="137"/>
      <c r="P35" s="138"/>
      <c r="Q35" s="144">
        <v>88000</v>
      </c>
      <c r="R35" s="1"/>
    </row>
    <row r="36" spans="1:18" ht="18.600000000000001" thickBot="1" x14ac:dyDescent="0.4">
      <c r="A36" s="122" t="s">
        <v>17</v>
      </c>
      <c r="B36" s="139"/>
      <c r="C36" s="139"/>
      <c r="D36" s="67">
        <f>D34/1823</f>
        <v>2402.3981689961597</v>
      </c>
      <c r="E36" s="62"/>
      <c r="F36" s="47"/>
      <c r="G36" s="47"/>
      <c r="H36" s="47"/>
      <c r="I36" s="122" t="s">
        <v>21</v>
      </c>
      <c r="J36" s="139"/>
      <c r="K36" s="139"/>
      <c r="L36" s="139"/>
      <c r="M36" s="139"/>
      <c r="N36" s="139"/>
      <c r="O36" s="139"/>
      <c r="P36" s="140"/>
      <c r="Q36" s="145">
        <f>SUM(Q21:Q35)</f>
        <v>3635740.7159999995</v>
      </c>
      <c r="R36" s="1"/>
    </row>
    <row r="37" spans="1:18" ht="18.600000000000001" thickBot="1" x14ac:dyDescent="0.4">
      <c r="A37" s="62" t="s">
        <v>31</v>
      </c>
      <c r="B37" s="62"/>
      <c r="C37" s="62"/>
      <c r="D37" s="62"/>
      <c r="E37" s="1"/>
      <c r="F37" s="1"/>
      <c r="G37" s="1"/>
      <c r="H37" s="1"/>
      <c r="I37" s="47"/>
      <c r="J37" s="47"/>
      <c r="K37" s="47"/>
      <c r="L37" s="47"/>
      <c r="M37" s="47"/>
      <c r="N37" s="47"/>
      <c r="O37" s="47"/>
      <c r="P37" s="47"/>
      <c r="Q37" s="146"/>
      <c r="R37" s="1"/>
    </row>
    <row r="38" spans="1:18" ht="18.600000000000001" thickBot="1" x14ac:dyDescent="0.4">
      <c r="A38" s="1"/>
      <c r="B38" s="1"/>
      <c r="C38" s="1"/>
      <c r="D38" s="1"/>
      <c r="E38" s="1"/>
      <c r="F38" s="1"/>
      <c r="G38" s="1"/>
      <c r="H38" s="1"/>
      <c r="I38" s="122" t="s">
        <v>30</v>
      </c>
      <c r="J38" s="139"/>
      <c r="K38" s="139"/>
      <c r="L38" s="139"/>
      <c r="M38" s="139"/>
      <c r="N38" s="139"/>
      <c r="O38" s="139"/>
      <c r="P38" s="140"/>
      <c r="Q38" s="145">
        <f>Q36/1823</f>
        <v>1994.372307185957</v>
      </c>
      <c r="R38" s="1"/>
    </row>
    <row r="39" spans="1:18" ht="25.8" x14ac:dyDescent="0.5">
      <c r="A39" s="141" t="s">
        <v>68</v>
      </c>
      <c r="B39" s="141"/>
      <c r="C39" s="141"/>
      <c r="D39" s="141"/>
      <c r="E39" s="1"/>
      <c r="F39" s="1"/>
      <c r="G39" s="1"/>
      <c r="H39" s="1"/>
      <c r="I39" s="47"/>
      <c r="J39" s="47"/>
      <c r="K39" s="47"/>
      <c r="L39" s="47"/>
      <c r="M39" s="47"/>
      <c r="N39" s="47"/>
      <c r="O39" s="47"/>
      <c r="P39" s="47"/>
      <c r="Q39" s="47"/>
      <c r="R39" s="1"/>
    </row>
    <row r="40" spans="1:1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3">
      <c r="A42" s="1"/>
      <c r="B42" s="1"/>
      <c r="C42" s="1"/>
      <c r="D42" s="1"/>
      <c r="I42" s="1"/>
      <c r="J42" s="1"/>
      <c r="K42" s="1"/>
      <c r="L42" s="1"/>
      <c r="M42" s="1"/>
      <c r="N42" s="1"/>
      <c r="O42" s="1"/>
      <c r="P42" s="1"/>
      <c r="Q42" s="1"/>
    </row>
    <row r="43" spans="1:18" x14ac:dyDescent="0.3">
      <c r="I43" s="1"/>
      <c r="J43" s="1"/>
      <c r="K43" s="1"/>
      <c r="L43" s="1"/>
      <c r="M43" s="1"/>
      <c r="N43" s="1"/>
      <c r="O43" s="1"/>
      <c r="P43" s="1"/>
      <c r="Q43" s="1"/>
    </row>
    <row r="44" spans="1:18" x14ac:dyDescent="0.3">
      <c r="I44" s="1"/>
      <c r="J44" s="1"/>
      <c r="K44" s="1"/>
      <c r="L44" s="1"/>
      <c r="M44" s="1"/>
      <c r="N44" s="1"/>
      <c r="O44" s="1"/>
      <c r="P44" s="1"/>
      <c r="Q44" s="1"/>
    </row>
  </sheetData>
  <mergeCells count="47">
    <mergeCell ref="I38:P38"/>
    <mergeCell ref="I33:P33"/>
    <mergeCell ref="A36:C36"/>
    <mergeCell ref="I34:P34"/>
    <mergeCell ref="I35:P35"/>
    <mergeCell ref="I36:P36"/>
    <mergeCell ref="A39:D39"/>
    <mergeCell ref="A32:C32"/>
    <mergeCell ref="I30:P30"/>
    <mergeCell ref="A33:C33"/>
    <mergeCell ref="I31:P31"/>
    <mergeCell ref="A34:C34"/>
    <mergeCell ref="I32:P32"/>
    <mergeCell ref="A29:C29"/>
    <mergeCell ref="I29:P29"/>
    <mergeCell ref="A30:C30"/>
    <mergeCell ref="A31:C31"/>
    <mergeCell ref="A26:C26"/>
    <mergeCell ref="I26:P26"/>
    <mergeCell ref="A27:C27"/>
    <mergeCell ref="I27:P27"/>
    <mergeCell ref="A28:C28"/>
    <mergeCell ref="I28:P28"/>
    <mergeCell ref="A23:C23"/>
    <mergeCell ref="I23:P23"/>
    <mergeCell ref="A24:C24"/>
    <mergeCell ref="I24:P24"/>
    <mergeCell ref="A25:C25"/>
    <mergeCell ref="I25:P25"/>
    <mergeCell ref="A22:C22"/>
    <mergeCell ref="I22:P22"/>
    <mergeCell ref="A6:B6"/>
    <mergeCell ref="A7:B7"/>
    <mergeCell ref="A8:B8"/>
    <mergeCell ref="A9:B9"/>
    <mergeCell ref="A10:B10"/>
    <mergeCell ref="A11:B11"/>
    <mergeCell ref="A12:B12"/>
    <mergeCell ref="A20:C20"/>
    <mergeCell ref="I20:P20"/>
    <mergeCell ref="A21:C21"/>
    <mergeCell ref="I21:P21"/>
    <mergeCell ref="A5:B5"/>
    <mergeCell ref="A1:B1"/>
    <mergeCell ref="A2:B2"/>
    <mergeCell ref="A3:B3"/>
    <mergeCell ref="A4:B4"/>
  </mergeCells>
  <pageMargins left="0.70866141732283472" right="0.70866141732283472" top="0.86508534136546189" bottom="0.74803149606299213" header="0.31496062992125984" footer="0.31496062992125984"/>
  <pageSetup paperSize="9" scale="43" orientation="landscape" r:id="rId1"/>
  <headerFooter>
    <oddHeader>&amp;C&amp;"-,полужирный"&amp;24СМЕТА на 2026 год
&amp;16к очередному общему собранию №01/2025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117-8CD7-4398-9462-69D6A9109AC0}">
  <dimension ref="A1:C2"/>
  <sheetViews>
    <sheetView workbookViewId="0">
      <selection activeCell="A2" sqref="A2"/>
    </sheetView>
  </sheetViews>
  <sheetFormatPr defaultRowHeight="14.4" x14ac:dyDescent="0.3"/>
  <sheetData>
    <row r="1" spans="1:3" x14ac:dyDescent="0.3">
      <c r="A1">
        <f>38615/12</f>
        <v>3217.9166666666665</v>
      </c>
      <c r="B1">
        <f>A1-600</f>
        <v>2617.9166666666665</v>
      </c>
      <c r="C1">
        <f>A1-150</f>
        <v>3067.9166666666665</v>
      </c>
    </row>
    <row r="2" spans="1:3" x14ac:dyDescent="0.3">
      <c r="A2">
        <f>(150*4.49+45*4.82+2617.917*8.28)*5+(150*4.49+3067.917*4.82)*7</f>
        <v>221059.78338000001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view="pageLayout" topLeftCell="B22" zoomScale="85" zoomScaleSheetLayoutView="106" zoomScalePageLayoutView="85" workbookViewId="0">
      <selection activeCell="I21" sqref="I21:P21"/>
    </sheetView>
  </sheetViews>
  <sheetFormatPr defaultRowHeight="14.4" x14ac:dyDescent="0.3"/>
  <cols>
    <col min="1" max="1" width="38.88671875" customWidth="1"/>
    <col min="2" max="2" width="14" customWidth="1"/>
    <col min="3" max="3" width="17.109375" customWidth="1"/>
    <col min="4" max="4" width="14.44140625" customWidth="1"/>
    <col min="5" max="5" width="11.33203125" customWidth="1"/>
    <col min="6" max="6" width="18.44140625" customWidth="1"/>
    <col min="7" max="7" width="4.44140625" customWidth="1"/>
    <col min="8" max="8" width="4" customWidth="1"/>
    <col min="9" max="9" width="16.109375" customWidth="1"/>
    <col min="10" max="10" width="15.109375" customWidth="1"/>
    <col min="11" max="11" width="3.5546875" customWidth="1"/>
    <col min="12" max="12" width="6.6640625" customWidth="1"/>
    <col min="13" max="13" width="16" customWidth="1"/>
    <col min="14" max="14" width="20.6640625" customWidth="1"/>
    <col min="15" max="15" width="3.88671875" customWidth="1"/>
    <col min="16" max="16" width="4.44140625" customWidth="1"/>
    <col min="17" max="17" width="26" customWidth="1"/>
  </cols>
  <sheetData>
    <row r="1" spans="1:18" ht="23.1" customHeight="1" thickBot="1" x14ac:dyDescent="0.4">
      <c r="A1" s="105" t="s">
        <v>52</v>
      </c>
      <c r="B1" s="106"/>
      <c r="C1" s="2" t="s">
        <v>0</v>
      </c>
      <c r="D1" s="3" t="s">
        <v>26</v>
      </c>
      <c r="E1" s="4" t="s">
        <v>1</v>
      </c>
      <c r="F1" s="5" t="s">
        <v>28</v>
      </c>
      <c r="G1" s="6"/>
      <c r="H1" s="6"/>
      <c r="I1" s="7" t="s">
        <v>27</v>
      </c>
      <c r="J1" s="3" t="s">
        <v>2</v>
      </c>
      <c r="K1" s="6"/>
      <c r="L1" s="6"/>
      <c r="M1" s="4" t="s">
        <v>3</v>
      </c>
      <c r="N1" s="8" t="s">
        <v>24</v>
      </c>
      <c r="O1" s="9"/>
      <c r="P1" s="10"/>
      <c r="Q1" s="2" t="s">
        <v>25</v>
      </c>
      <c r="R1" s="1"/>
    </row>
    <row r="2" spans="1:18" ht="18.600000000000001" thickBot="1" x14ac:dyDescent="0.4">
      <c r="A2" s="107" t="s">
        <v>32</v>
      </c>
      <c r="B2" s="108"/>
      <c r="C2" s="11">
        <v>45980</v>
      </c>
      <c r="D2" s="12">
        <f>C2*30.2%</f>
        <v>13885.96</v>
      </c>
      <c r="E2" s="13">
        <v>0</v>
      </c>
      <c r="F2" s="14">
        <f t="shared" ref="F2:F9" si="0">D2+E2</f>
        <v>13885.96</v>
      </c>
      <c r="G2" s="54" t="s">
        <v>6</v>
      </c>
      <c r="H2" s="15">
        <v>12</v>
      </c>
      <c r="I2" s="16">
        <f t="shared" ref="I2:I13" si="1">F2*H2</f>
        <v>166631.51999999999</v>
      </c>
      <c r="J2" s="69">
        <f>C2*13%</f>
        <v>5977.4000000000005</v>
      </c>
      <c r="K2" s="54" t="s">
        <v>6</v>
      </c>
      <c r="L2" s="15">
        <v>12</v>
      </c>
      <c r="M2" s="73">
        <f>J2*L2</f>
        <v>71728.800000000003</v>
      </c>
      <c r="N2" s="18">
        <f t="shared" ref="N2:N9" si="2">C2-J2</f>
        <v>40002.6</v>
      </c>
      <c r="O2" s="58" t="s">
        <v>6</v>
      </c>
      <c r="P2" s="19">
        <v>12</v>
      </c>
      <c r="Q2" s="20">
        <f t="shared" ref="Q2:Q9" si="3">N2*P2</f>
        <v>480031.19999999995</v>
      </c>
      <c r="R2" s="1"/>
    </row>
    <row r="3" spans="1:18" ht="18.600000000000001" thickBot="1" x14ac:dyDescent="0.4">
      <c r="A3" s="103" t="s">
        <v>4</v>
      </c>
      <c r="B3" s="104"/>
      <c r="C3" s="21">
        <v>17241</v>
      </c>
      <c r="D3" s="22">
        <f t="shared" ref="D3:D9" si="4">C3*30.2%</f>
        <v>5206.7820000000002</v>
      </c>
      <c r="E3" s="17">
        <v>0</v>
      </c>
      <c r="F3" s="23">
        <f t="shared" si="0"/>
        <v>5206.7820000000002</v>
      </c>
      <c r="G3" s="55" t="s">
        <v>6</v>
      </c>
      <c r="H3" s="15">
        <v>12</v>
      </c>
      <c r="I3" s="16">
        <f t="shared" si="1"/>
        <v>62481.384000000005</v>
      </c>
      <c r="J3" s="70">
        <f t="shared" ref="J3:J9" si="5">C3*13%</f>
        <v>2241.33</v>
      </c>
      <c r="K3" s="55" t="s">
        <v>6</v>
      </c>
      <c r="L3" s="15">
        <v>12</v>
      </c>
      <c r="M3" s="73">
        <f t="shared" ref="M3:M13" si="6">J3*L3</f>
        <v>26895.96</v>
      </c>
      <c r="N3" s="24">
        <f>C3-J3</f>
        <v>14999.67</v>
      </c>
      <c r="O3" s="59" t="s">
        <v>6</v>
      </c>
      <c r="P3" s="19">
        <v>12</v>
      </c>
      <c r="Q3" s="20">
        <f t="shared" si="3"/>
        <v>179996.04</v>
      </c>
      <c r="R3" s="1"/>
    </row>
    <row r="4" spans="1:18" ht="18.600000000000001" thickBot="1" x14ac:dyDescent="0.4">
      <c r="A4" s="103" t="s">
        <v>23</v>
      </c>
      <c r="B4" s="104"/>
      <c r="C4" s="21">
        <v>15279</v>
      </c>
      <c r="D4" s="22">
        <f t="shared" si="4"/>
        <v>4614.2579999999998</v>
      </c>
      <c r="E4" s="17">
        <v>0</v>
      </c>
      <c r="F4" s="23">
        <f t="shared" si="0"/>
        <v>4614.2579999999998</v>
      </c>
      <c r="G4" s="55" t="s">
        <v>6</v>
      </c>
      <c r="H4" s="15">
        <v>12</v>
      </c>
      <c r="I4" s="16">
        <f t="shared" si="1"/>
        <v>55371.095999999998</v>
      </c>
      <c r="J4" s="70">
        <f t="shared" si="5"/>
        <v>1986.27</v>
      </c>
      <c r="K4" s="55" t="s">
        <v>6</v>
      </c>
      <c r="L4" s="15">
        <v>12</v>
      </c>
      <c r="M4" s="73">
        <f t="shared" si="6"/>
        <v>23835.239999999998</v>
      </c>
      <c r="N4" s="24">
        <f t="shared" si="2"/>
        <v>13292.73</v>
      </c>
      <c r="O4" s="59" t="s">
        <v>6</v>
      </c>
      <c r="P4" s="19">
        <v>12</v>
      </c>
      <c r="Q4" s="20">
        <f t="shared" si="3"/>
        <v>159512.76</v>
      </c>
      <c r="R4" s="1"/>
    </row>
    <row r="5" spans="1:18" ht="18.600000000000001" thickBot="1" x14ac:dyDescent="0.4">
      <c r="A5" s="103" t="s">
        <v>54</v>
      </c>
      <c r="B5" s="104"/>
      <c r="C5" s="21">
        <v>5748</v>
      </c>
      <c r="D5" s="22">
        <f t="shared" si="4"/>
        <v>1735.896</v>
      </c>
      <c r="E5" s="17">
        <v>0</v>
      </c>
      <c r="F5" s="23">
        <f t="shared" si="0"/>
        <v>1735.896</v>
      </c>
      <c r="G5" s="55" t="s">
        <v>6</v>
      </c>
      <c r="H5" s="15">
        <v>12</v>
      </c>
      <c r="I5" s="16">
        <f t="shared" si="1"/>
        <v>20830.752</v>
      </c>
      <c r="J5" s="70">
        <f>C5*13%</f>
        <v>747.24</v>
      </c>
      <c r="K5" s="55" t="s">
        <v>6</v>
      </c>
      <c r="L5" s="15">
        <v>12</v>
      </c>
      <c r="M5" s="73">
        <f t="shared" si="6"/>
        <v>8966.880000000001</v>
      </c>
      <c r="N5" s="24">
        <f t="shared" si="2"/>
        <v>5000.76</v>
      </c>
      <c r="O5" s="59" t="s">
        <v>6</v>
      </c>
      <c r="P5" s="19">
        <v>12</v>
      </c>
      <c r="Q5" s="20">
        <f t="shared" si="3"/>
        <v>60009.120000000003</v>
      </c>
      <c r="R5" s="1"/>
    </row>
    <row r="6" spans="1:18" ht="18.600000000000001" thickBot="1" x14ac:dyDescent="0.4">
      <c r="A6" s="103" t="s">
        <v>5</v>
      </c>
      <c r="B6" s="104"/>
      <c r="C6" s="21">
        <v>11495</v>
      </c>
      <c r="D6" s="22">
        <f t="shared" si="4"/>
        <v>3471.49</v>
      </c>
      <c r="E6" s="17">
        <v>0</v>
      </c>
      <c r="F6" s="23">
        <f t="shared" si="0"/>
        <v>3471.49</v>
      </c>
      <c r="G6" s="55" t="s">
        <v>6</v>
      </c>
      <c r="H6" s="15">
        <v>12</v>
      </c>
      <c r="I6" s="16">
        <f t="shared" si="1"/>
        <v>41657.879999999997</v>
      </c>
      <c r="J6" s="70">
        <f t="shared" si="5"/>
        <v>1494.3500000000001</v>
      </c>
      <c r="K6" s="55" t="s">
        <v>6</v>
      </c>
      <c r="L6" s="15">
        <v>12</v>
      </c>
      <c r="M6" s="73">
        <f t="shared" si="6"/>
        <v>17932.2</v>
      </c>
      <c r="N6" s="24">
        <f>C6-J6</f>
        <v>10000.65</v>
      </c>
      <c r="O6" s="59" t="s">
        <v>6</v>
      </c>
      <c r="P6" s="19">
        <v>12</v>
      </c>
      <c r="Q6" s="20">
        <f t="shared" si="3"/>
        <v>120007.79999999999</v>
      </c>
      <c r="R6" s="1"/>
    </row>
    <row r="7" spans="1:18" ht="18.600000000000001" thickBot="1" x14ac:dyDescent="0.4">
      <c r="A7" s="103" t="s">
        <v>33</v>
      </c>
      <c r="B7" s="104"/>
      <c r="C7" s="21">
        <v>17241</v>
      </c>
      <c r="D7" s="22">
        <f t="shared" si="4"/>
        <v>5206.7820000000002</v>
      </c>
      <c r="E7" s="17">
        <v>0</v>
      </c>
      <c r="F7" s="23">
        <f t="shared" si="0"/>
        <v>5206.7820000000002</v>
      </c>
      <c r="G7" s="55" t="s">
        <v>6</v>
      </c>
      <c r="H7" s="15">
        <v>12</v>
      </c>
      <c r="I7" s="16">
        <f t="shared" si="1"/>
        <v>62481.384000000005</v>
      </c>
      <c r="J7" s="70">
        <f t="shared" si="5"/>
        <v>2241.33</v>
      </c>
      <c r="K7" s="55" t="s">
        <v>6</v>
      </c>
      <c r="L7" s="15">
        <v>12</v>
      </c>
      <c r="M7" s="73">
        <f t="shared" si="6"/>
        <v>26895.96</v>
      </c>
      <c r="N7" s="24">
        <f t="shared" si="2"/>
        <v>14999.67</v>
      </c>
      <c r="O7" s="59" t="s">
        <v>6</v>
      </c>
      <c r="P7" s="19">
        <v>12</v>
      </c>
      <c r="Q7" s="20">
        <f t="shared" si="3"/>
        <v>179996.04</v>
      </c>
      <c r="R7" s="1"/>
    </row>
    <row r="8" spans="1:18" ht="18.600000000000001" thickBot="1" x14ac:dyDescent="0.4">
      <c r="A8" s="103" t="s">
        <v>34</v>
      </c>
      <c r="B8" s="104"/>
      <c r="C8" s="21">
        <v>11495</v>
      </c>
      <c r="D8" s="22">
        <f>C8*30.2%</f>
        <v>3471.49</v>
      </c>
      <c r="E8" s="17">
        <v>0</v>
      </c>
      <c r="F8" s="23">
        <f>D8+E8</f>
        <v>3471.49</v>
      </c>
      <c r="G8" s="55" t="s">
        <v>6</v>
      </c>
      <c r="H8" s="15">
        <v>12</v>
      </c>
      <c r="I8" s="16">
        <f t="shared" si="1"/>
        <v>41657.879999999997</v>
      </c>
      <c r="J8" s="70">
        <f>C8*13%</f>
        <v>1494.3500000000001</v>
      </c>
      <c r="K8" s="55" t="s">
        <v>6</v>
      </c>
      <c r="L8" s="15">
        <v>12</v>
      </c>
      <c r="M8" s="73">
        <f t="shared" si="6"/>
        <v>17932.2</v>
      </c>
      <c r="N8" s="24">
        <f>C8-J8</f>
        <v>10000.65</v>
      </c>
      <c r="O8" s="59" t="s">
        <v>6</v>
      </c>
      <c r="P8" s="19">
        <v>12</v>
      </c>
      <c r="Q8" s="20">
        <f t="shared" si="3"/>
        <v>120007.79999999999</v>
      </c>
      <c r="R8" s="1"/>
    </row>
    <row r="9" spans="1:18" ht="18.600000000000001" thickBot="1" x14ac:dyDescent="0.4">
      <c r="A9" s="103" t="s">
        <v>35</v>
      </c>
      <c r="B9" s="104"/>
      <c r="C9" s="21">
        <v>9195</v>
      </c>
      <c r="D9" s="22">
        <f t="shared" si="4"/>
        <v>2776.89</v>
      </c>
      <c r="E9" s="17">
        <v>0</v>
      </c>
      <c r="F9" s="23">
        <f t="shared" si="0"/>
        <v>2776.89</v>
      </c>
      <c r="G9" s="55" t="s">
        <v>6</v>
      </c>
      <c r="H9" s="15">
        <v>12</v>
      </c>
      <c r="I9" s="16">
        <f t="shared" si="1"/>
        <v>33322.68</v>
      </c>
      <c r="J9" s="70">
        <f t="shared" si="5"/>
        <v>1195.3500000000001</v>
      </c>
      <c r="K9" s="55" t="s">
        <v>6</v>
      </c>
      <c r="L9" s="15">
        <v>12</v>
      </c>
      <c r="M9" s="73">
        <f t="shared" si="6"/>
        <v>14344.2</v>
      </c>
      <c r="N9" s="24">
        <f t="shared" si="2"/>
        <v>7999.65</v>
      </c>
      <c r="O9" s="59" t="s">
        <v>6</v>
      </c>
      <c r="P9" s="19">
        <v>12</v>
      </c>
      <c r="Q9" s="20">
        <f t="shared" si="3"/>
        <v>95995.799999999988</v>
      </c>
      <c r="R9" s="1"/>
    </row>
    <row r="10" spans="1:18" ht="18.600000000000001" thickBot="1" x14ac:dyDescent="0.4">
      <c r="A10" s="115"/>
      <c r="B10" s="116"/>
      <c r="C10" s="21"/>
      <c r="D10" s="25"/>
      <c r="E10" s="26"/>
      <c r="F10" s="27"/>
      <c r="G10" s="55"/>
      <c r="H10" s="15"/>
      <c r="I10" s="16"/>
      <c r="J10" s="71"/>
      <c r="K10" s="55"/>
      <c r="L10" s="15"/>
      <c r="M10" s="73"/>
      <c r="N10" s="28"/>
      <c r="O10" s="59"/>
      <c r="P10" s="19"/>
      <c r="Q10" s="20"/>
      <c r="R10" s="1"/>
    </row>
    <row r="11" spans="1:18" ht="18.600000000000001" thickBot="1" x14ac:dyDescent="0.4">
      <c r="A11" s="115"/>
      <c r="B11" s="116"/>
      <c r="C11" s="21"/>
      <c r="D11" s="22"/>
      <c r="E11" s="17"/>
      <c r="F11" s="29"/>
      <c r="G11" s="55"/>
      <c r="H11" s="15"/>
      <c r="I11" s="16"/>
      <c r="J11" s="70"/>
      <c r="K11" s="55"/>
      <c r="L11" s="15"/>
      <c r="M11" s="73"/>
      <c r="N11" s="29"/>
      <c r="O11" s="59"/>
      <c r="P11" s="19"/>
      <c r="Q11" s="20"/>
      <c r="R11" s="1"/>
    </row>
    <row r="12" spans="1:18" ht="18.600000000000001" thickBot="1" x14ac:dyDescent="0.4">
      <c r="A12" s="117"/>
      <c r="B12" s="118"/>
      <c r="C12" s="30"/>
      <c r="D12" s="31"/>
      <c r="E12" s="32"/>
      <c r="F12" s="33"/>
      <c r="G12" s="56"/>
      <c r="H12" s="34"/>
      <c r="I12" s="35"/>
      <c r="J12" s="72"/>
      <c r="K12" s="56"/>
      <c r="L12" s="34"/>
      <c r="M12" s="73"/>
      <c r="N12" s="33"/>
      <c r="O12" s="60"/>
      <c r="P12" s="36"/>
      <c r="Q12" s="37"/>
      <c r="R12" s="1"/>
    </row>
    <row r="13" spans="1:18" ht="18.600000000000001" thickBot="1" x14ac:dyDescent="0.4">
      <c r="A13" s="105" t="s">
        <v>22</v>
      </c>
      <c r="B13" s="119"/>
      <c r="C13" s="38">
        <f>SUM(C2:C9)</f>
        <v>133674</v>
      </c>
      <c r="D13" s="39">
        <f>SUM(D2:D9)</f>
        <v>40369.547999999995</v>
      </c>
      <c r="E13" s="40">
        <f>SUM(E2:E9)</f>
        <v>0</v>
      </c>
      <c r="F13" s="41">
        <f>SUM(F2:F9)</f>
        <v>40369.547999999995</v>
      </c>
      <c r="G13" s="57" t="s">
        <v>6</v>
      </c>
      <c r="H13" s="42">
        <v>12</v>
      </c>
      <c r="I13" s="43">
        <f t="shared" si="1"/>
        <v>484434.57599999994</v>
      </c>
      <c r="J13" s="73">
        <f>SUM(J2:J9)</f>
        <v>17377.62</v>
      </c>
      <c r="K13" s="57" t="s">
        <v>6</v>
      </c>
      <c r="L13" s="42">
        <v>12</v>
      </c>
      <c r="M13" s="73">
        <f t="shared" si="6"/>
        <v>208531.44</v>
      </c>
      <c r="N13" s="44">
        <f>SUM(N2:N9)</f>
        <v>116296.37999999998</v>
      </c>
      <c r="O13" s="61" t="s">
        <v>6</v>
      </c>
      <c r="P13" s="45">
        <v>12</v>
      </c>
      <c r="Q13" s="46">
        <f>N13*P13</f>
        <v>1395556.5599999996</v>
      </c>
      <c r="R13" s="1"/>
    </row>
    <row r="14" spans="1:18" ht="18" x14ac:dyDescent="0.3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1"/>
    </row>
    <row r="15" spans="1:18" ht="18.600000000000001" thickBot="1" x14ac:dyDescent="0.4">
      <c r="A15" s="47" t="s">
        <v>57</v>
      </c>
      <c r="B15" s="47"/>
      <c r="C15" s="47">
        <f>Q13</f>
        <v>1395556.5599999996</v>
      </c>
      <c r="D15" s="47" t="s">
        <v>7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 t="s">
        <v>37</v>
      </c>
      <c r="Q15" s="47"/>
      <c r="R15" s="1"/>
    </row>
    <row r="16" spans="1:18" ht="18.600000000000001" thickBot="1" x14ac:dyDescent="0.4">
      <c r="A16" s="47" t="s">
        <v>8</v>
      </c>
      <c r="B16" s="47"/>
      <c r="C16" s="73">
        <f>M13</f>
        <v>208531.44</v>
      </c>
      <c r="D16" s="47" t="s">
        <v>7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1"/>
    </row>
    <row r="17" spans="1:18" ht="18" x14ac:dyDescent="0.35">
      <c r="A17" s="47" t="s">
        <v>9</v>
      </c>
      <c r="B17" s="47"/>
      <c r="C17" s="47">
        <f>I13</f>
        <v>484434.57599999994</v>
      </c>
      <c r="D17" s="47" t="s">
        <v>7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1"/>
    </row>
    <row r="18" spans="1:18" ht="18" x14ac:dyDescent="0.35">
      <c r="A18" s="47" t="s">
        <v>10</v>
      </c>
      <c r="B18" s="47"/>
      <c r="C18" s="74">
        <f>C15+C16+C17</f>
        <v>2088522.5759999994</v>
      </c>
      <c r="D18" s="47" t="s">
        <v>7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1"/>
    </row>
    <row r="19" spans="1:18" ht="18" x14ac:dyDescent="0.3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1"/>
    </row>
    <row r="20" spans="1:18" ht="18.600000000000001" thickBot="1" x14ac:dyDescent="0.4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1"/>
    </row>
    <row r="21" spans="1:18" ht="18.600000000000001" thickBot="1" x14ac:dyDescent="0.4">
      <c r="A21" s="120" t="s">
        <v>53</v>
      </c>
      <c r="B21" s="121"/>
      <c r="C21" s="121"/>
      <c r="D21" s="48"/>
      <c r="E21" s="47"/>
      <c r="F21" s="47"/>
      <c r="G21" s="47"/>
      <c r="H21" s="47"/>
      <c r="I21" s="122" t="s">
        <v>58</v>
      </c>
      <c r="J21" s="123"/>
      <c r="K21" s="123"/>
      <c r="L21" s="123"/>
      <c r="M21" s="123"/>
      <c r="N21" s="123"/>
      <c r="O21" s="123"/>
      <c r="P21" s="124"/>
      <c r="Q21" s="48"/>
      <c r="R21" s="1"/>
    </row>
    <row r="22" spans="1:18" ht="18" x14ac:dyDescent="0.35">
      <c r="A22" s="125" t="s">
        <v>51</v>
      </c>
      <c r="B22" s="126"/>
      <c r="C22" s="127"/>
      <c r="D22" s="49">
        <f>C18</f>
        <v>2088522.5759999994</v>
      </c>
      <c r="E22" s="47"/>
      <c r="F22" s="47"/>
      <c r="G22" s="47"/>
      <c r="H22" s="47"/>
      <c r="I22" s="128" t="s">
        <v>11</v>
      </c>
      <c r="J22" s="129"/>
      <c r="K22" s="129"/>
      <c r="L22" s="129"/>
      <c r="M22" s="129"/>
      <c r="N22" s="129"/>
      <c r="O22" s="129"/>
      <c r="P22" s="130"/>
      <c r="Q22" s="63">
        <f>C18</f>
        <v>2088522.5759999994</v>
      </c>
      <c r="R22" s="1"/>
    </row>
    <row r="23" spans="1:18" ht="18" x14ac:dyDescent="0.35">
      <c r="A23" s="109" t="s">
        <v>46</v>
      </c>
      <c r="B23" s="110"/>
      <c r="C23" s="111"/>
      <c r="D23" s="49">
        <v>23400</v>
      </c>
      <c r="E23" s="47"/>
      <c r="F23" s="47"/>
      <c r="G23" s="47"/>
      <c r="H23" s="47"/>
      <c r="I23" s="112" t="s">
        <v>38</v>
      </c>
      <c r="J23" s="113"/>
      <c r="K23" s="113"/>
      <c r="L23" s="113"/>
      <c r="M23" s="113"/>
      <c r="N23" s="113"/>
      <c r="O23" s="113"/>
      <c r="P23" s="114"/>
      <c r="Q23" s="64">
        <f>3766+3300+5420.14+18300</f>
        <v>30786.14</v>
      </c>
      <c r="R23" s="1"/>
    </row>
    <row r="24" spans="1:18" ht="18" x14ac:dyDescent="0.35">
      <c r="A24" s="131" t="s">
        <v>18</v>
      </c>
      <c r="B24" s="132"/>
      <c r="C24" s="132"/>
      <c r="D24" s="50">
        <v>31000</v>
      </c>
      <c r="E24" s="47"/>
      <c r="F24" s="47"/>
      <c r="G24" s="47"/>
      <c r="H24" s="47"/>
      <c r="I24" s="109" t="s">
        <v>46</v>
      </c>
      <c r="J24" s="110"/>
      <c r="K24" s="110"/>
      <c r="L24" s="110"/>
      <c r="M24" s="110"/>
      <c r="N24" s="110"/>
      <c r="O24" s="110"/>
      <c r="P24" s="111"/>
      <c r="Q24" s="64">
        <v>23400</v>
      </c>
      <c r="R24" s="1"/>
    </row>
    <row r="25" spans="1:18" ht="18" x14ac:dyDescent="0.35">
      <c r="A25" s="131" t="s">
        <v>12</v>
      </c>
      <c r="B25" s="132"/>
      <c r="C25" s="132"/>
      <c r="D25" s="50">
        <v>39000</v>
      </c>
      <c r="E25" s="47"/>
      <c r="F25" s="47"/>
      <c r="G25" s="47"/>
      <c r="H25" s="47"/>
      <c r="I25" s="109" t="s">
        <v>40</v>
      </c>
      <c r="J25" s="110"/>
      <c r="K25" s="110"/>
      <c r="L25" s="110"/>
      <c r="M25" s="110"/>
      <c r="N25" s="110"/>
      <c r="O25" s="110"/>
      <c r="P25" s="111"/>
      <c r="Q25" s="64">
        <f>32306.74+5234.6</f>
        <v>37541.340000000004</v>
      </c>
      <c r="R25" s="1"/>
    </row>
    <row r="26" spans="1:18" ht="18" x14ac:dyDescent="0.35">
      <c r="A26" s="109" t="s">
        <v>13</v>
      </c>
      <c r="B26" s="110"/>
      <c r="C26" s="111"/>
      <c r="D26" s="50">
        <v>10000</v>
      </c>
      <c r="E26" s="47"/>
      <c r="F26" s="47"/>
      <c r="G26" s="47"/>
      <c r="H26" s="47"/>
      <c r="I26" s="109" t="s">
        <v>47</v>
      </c>
      <c r="J26" s="110"/>
      <c r="K26" s="110"/>
      <c r="L26" s="110"/>
      <c r="M26" s="110"/>
      <c r="N26" s="110"/>
      <c r="O26" s="110"/>
      <c r="P26" s="111"/>
      <c r="Q26" s="64">
        <f>1750+1550</f>
        <v>3300</v>
      </c>
      <c r="R26" s="1"/>
    </row>
    <row r="27" spans="1:18" ht="18" x14ac:dyDescent="0.35">
      <c r="A27" s="109" t="s">
        <v>19</v>
      </c>
      <c r="B27" s="110"/>
      <c r="C27" s="111"/>
      <c r="D27" s="50">
        <v>515000</v>
      </c>
      <c r="E27" s="47"/>
      <c r="F27" s="47"/>
      <c r="G27" s="47"/>
      <c r="H27" s="47"/>
      <c r="I27" s="109" t="s">
        <v>48</v>
      </c>
      <c r="J27" s="110"/>
      <c r="K27" s="110"/>
      <c r="L27" s="110"/>
      <c r="M27" s="110"/>
      <c r="N27" s="110"/>
      <c r="O27" s="110"/>
      <c r="P27" s="111"/>
      <c r="Q27" s="64">
        <v>513560.3</v>
      </c>
      <c r="R27" s="1"/>
    </row>
    <row r="28" spans="1:18" ht="18" x14ac:dyDescent="0.35">
      <c r="A28" s="109" t="s">
        <v>56</v>
      </c>
      <c r="B28" s="110"/>
      <c r="C28" s="111"/>
      <c r="D28" s="50">
        <v>590000</v>
      </c>
      <c r="E28" s="47"/>
      <c r="F28" s="47"/>
      <c r="G28" s="47"/>
      <c r="H28" s="47"/>
      <c r="I28" s="109" t="s">
        <v>39</v>
      </c>
      <c r="J28" s="110"/>
      <c r="K28" s="110"/>
      <c r="L28" s="110"/>
      <c r="M28" s="110"/>
      <c r="N28" s="110"/>
      <c r="O28" s="110"/>
      <c r="P28" s="111"/>
      <c r="Q28" s="64">
        <f>172071.63-1750-1550+11945+14500+32389</f>
        <v>227605.63</v>
      </c>
      <c r="R28" s="1"/>
    </row>
    <row r="29" spans="1:18" ht="18" x14ac:dyDescent="0.35">
      <c r="A29" s="109" t="s">
        <v>14</v>
      </c>
      <c r="B29" s="110"/>
      <c r="C29" s="111"/>
      <c r="D29" s="50">
        <v>12195</v>
      </c>
      <c r="E29" s="47"/>
      <c r="F29" s="47"/>
      <c r="G29" s="47"/>
      <c r="H29" s="47"/>
      <c r="I29" s="109" t="s">
        <v>43</v>
      </c>
      <c r="J29" s="110"/>
      <c r="K29" s="110"/>
      <c r="L29" s="110"/>
      <c r="M29" s="110"/>
      <c r="N29" s="110"/>
      <c r="O29" s="110"/>
      <c r="P29" s="111"/>
      <c r="Q29" s="64">
        <v>10000</v>
      </c>
      <c r="R29" s="1"/>
    </row>
    <row r="30" spans="1:18" ht="18" x14ac:dyDescent="0.35">
      <c r="A30" s="109" t="s">
        <v>50</v>
      </c>
      <c r="B30" s="110"/>
      <c r="C30" s="111"/>
      <c r="D30" s="50">
        <v>24000</v>
      </c>
      <c r="E30" s="47"/>
      <c r="F30" s="47"/>
      <c r="G30" s="47"/>
      <c r="H30" s="47"/>
      <c r="I30" s="109" t="s">
        <v>14</v>
      </c>
      <c r="J30" s="110"/>
      <c r="K30" s="110"/>
      <c r="L30" s="110"/>
      <c r="M30" s="110"/>
      <c r="N30" s="110"/>
      <c r="O30" s="110"/>
      <c r="P30" s="111"/>
      <c r="Q30" s="64">
        <v>21422.5</v>
      </c>
      <c r="R30" s="1"/>
    </row>
    <row r="31" spans="1:18" ht="18" x14ac:dyDescent="0.35">
      <c r="A31" s="109" t="s">
        <v>16</v>
      </c>
      <c r="B31" s="110"/>
      <c r="C31" s="111"/>
      <c r="D31" s="50">
        <v>50000</v>
      </c>
      <c r="E31" s="47"/>
      <c r="F31" s="47"/>
      <c r="G31" s="47"/>
      <c r="H31" s="47"/>
      <c r="I31" s="109" t="s">
        <v>15</v>
      </c>
      <c r="J31" s="110"/>
      <c r="K31" s="110"/>
      <c r="L31" s="110"/>
      <c r="M31" s="110"/>
      <c r="N31" s="110"/>
      <c r="O31" s="110"/>
      <c r="P31" s="111"/>
      <c r="Q31" s="64">
        <v>3149.23</v>
      </c>
      <c r="R31" s="1"/>
    </row>
    <row r="32" spans="1:18" ht="18" x14ac:dyDescent="0.35">
      <c r="A32" s="131" t="s">
        <v>29</v>
      </c>
      <c r="B32" s="132"/>
      <c r="C32" s="133"/>
      <c r="D32" s="50">
        <v>200000</v>
      </c>
      <c r="E32" s="47"/>
      <c r="F32" s="47"/>
      <c r="G32" s="47"/>
      <c r="H32" s="47"/>
      <c r="I32" s="109" t="s">
        <v>45</v>
      </c>
      <c r="J32" s="110"/>
      <c r="K32" s="110"/>
      <c r="L32" s="110"/>
      <c r="M32" s="110"/>
      <c r="N32" s="110"/>
      <c r="O32" s="110"/>
      <c r="P32" s="111"/>
      <c r="Q32" s="64">
        <v>60000</v>
      </c>
      <c r="R32" s="1"/>
    </row>
    <row r="33" spans="1:18" ht="18" x14ac:dyDescent="0.35">
      <c r="A33" s="134" t="s">
        <v>11</v>
      </c>
      <c r="B33" s="135"/>
      <c r="C33" s="135"/>
      <c r="D33" s="51">
        <v>30000</v>
      </c>
      <c r="E33" s="47"/>
      <c r="F33" s="47"/>
      <c r="G33" s="47"/>
      <c r="H33" s="47"/>
      <c r="I33" s="109" t="s">
        <v>44</v>
      </c>
      <c r="J33" s="110"/>
      <c r="K33" s="110"/>
      <c r="L33" s="110"/>
      <c r="M33" s="110"/>
      <c r="N33" s="110"/>
      <c r="O33" s="110"/>
      <c r="P33" s="111"/>
      <c r="Q33" s="64">
        <v>43000</v>
      </c>
      <c r="R33" s="1"/>
    </row>
    <row r="34" spans="1:18" ht="18.600000000000001" thickBot="1" x14ac:dyDescent="0.4">
      <c r="A34" s="136" t="s">
        <v>36</v>
      </c>
      <c r="B34" s="137"/>
      <c r="C34" s="138"/>
      <c r="D34" s="52">
        <v>100000</v>
      </c>
      <c r="E34" s="47"/>
      <c r="F34" s="47"/>
      <c r="G34" s="47"/>
      <c r="H34" s="47"/>
      <c r="I34" s="109" t="s">
        <v>16</v>
      </c>
      <c r="J34" s="110"/>
      <c r="K34" s="110"/>
      <c r="L34" s="110"/>
      <c r="M34" s="110"/>
      <c r="N34" s="110"/>
      <c r="O34" s="110"/>
      <c r="P34" s="111"/>
      <c r="Q34" s="64">
        <v>50000</v>
      </c>
      <c r="R34" s="1"/>
    </row>
    <row r="35" spans="1:18" ht="18.600000000000001" thickBot="1" x14ac:dyDescent="0.4">
      <c r="A35" s="120" t="s">
        <v>21</v>
      </c>
      <c r="B35" s="121"/>
      <c r="C35" s="121"/>
      <c r="D35" s="53">
        <f>SUM(D22:D34)</f>
        <v>3713117.5759999994</v>
      </c>
      <c r="E35" s="47"/>
      <c r="F35" s="47"/>
      <c r="G35" s="47"/>
      <c r="H35" s="47"/>
      <c r="I35" s="109" t="s">
        <v>49</v>
      </c>
      <c r="J35" s="110"/>
      <c r="K35" s="110"/>
      <c r="L35" s="110"/>
      <c r="M35" s="110"/>
      <c r="N35" s="110"/>
      <c r="O35" s="110"/>
      <c r="P35" s="111"/>
      <c r="Q35" s="64">
        <v>210177.98</v>
      </c>
      <c r="R35" s="1"/>
    </row>
    <row r="36" spans="1:18" ht="18.600000000000001" thickBot="1" x14ac:dyDescent="0.4">
      <c r="A36" s="47"/>
      <c r="B36" s="47"/>
      <c r="C36" s="47"/>
      <c r="D36" s="47"/>
      <c r="E36" s="47"/>
      <c r="F36" s="47"/>
      <c r="G36" s="47"/>
      <c r="H36" s="47"/>
      <c r="I36" s="109" t="s">
        <v>41</v>
      </c>
      <c r="J36" s="110"/>
      <c r="K36" s="110"/>
      <c r="L36" s="110"/>
      <c r="M36" s="110"/>
      <c r="N36" s="110"/>
      <c r="O36" s="110"/>
      <c r="P36" s="111"/>
      <c r="Q36" s="64">
        <v>77700</v>
      </c>
      <c r="R36" s="1"/>
    </row>
    <row r="37" spans="1:18" ht="18.600000000000001" thickBot="1" x14ac:dyDescent="0.4">
      <c r="A37" s="122" t="s">
        <v>17</v>
      </c>
      <c r="B37" s="139"/>
      <c r="C37" s="139"/>
      <c r="D37" s="67">
        <f>D35/1823</f>
        <v>2036.8171014810748</v>
      </c>
      <c r="E37" s="62"/>
      <c r="F37" s="47"/>
      <c r="G37" s="47"/>
      <c r="H37" s="47"/>
      <c r="I37" s="109" t="s">
        <v>20</v>
      </c>
      <c r="J37" s="110"/>
      <c r="K37" s="110"/>
      <c r="L37" s="110"/>
      <c r="M37" s="110"/>
      <c r="N37" s="110"/>
      <c r="O37" s="110"/>
      <c r="P37" s="111"/>
      <c r="Q37" s="65">
        <f>178000+8970</f>
        <v>186970</v>
      </c>
      <c r="R37" s="1"/>
    </row>
    <row r="38" spans="1:18" ht="18.600000000000001" thickBot="1" x14ac:dyDescent="0.4">
      <c r="A38" s="62" t="s">
        <v>31</v>
      </c>
      <c r="B38" s="62"/>
      <c r="C38" s="62"/>
      <c r="D38" s="62"/>
      <c r="E38" s="1"/>
      <c r="F38" s="1"/>
      <c r="G38" s="1"/>
      <c r="H38" s="1"/>
      <c r="I38" s="136" t="s">
        <v>42</v>
      </c>
      <c r="J38" s="137"/>
      <c r="K38" s="137"/>
      <c r="L38" s="137"/>
      <c r="M38" s="137"/>
      <c r="N38" s="137"/>
      <c r="O38" s="137"/>
      <c r="P38" s="138"/>
      <c r="Q38" s="66">
        <f>14000+10000+6000+12000+4000+10000</f>
        <v>56000</v>
      </c>
      <c r="R38" s="1"/>
    </row>
    <row r="39" spans="1:18" ht="18.600000000000001" thickBot="1" x14ac:dyDescent="0.4">
      <c r="A39" s="1"/>
      <c r="B39" s="1"/>
      <c r="C39" s="1"/>
      <c r="D39" s="1"/>
      <c r="E39" s="1"/>
      <c r="F39" s="1"/>
      <c r="G39" s="1"/>
      <c r="H39" s="1"/>
      <c r="I39" s="122" t="s">
        <v>21</v>
      </c>
      <c r="J39" s="139"/>
      <c r="K39" s="139"/>
      <c r="L39" s="139"/>
      <c r="M39" s="139"/>
      <c r="N39" s="139"/>
      <c r="O39" s="139"/>
      <c r="P39" s="140"/>
      <c r="Q39" s="67">
        <f>SUM(Q22:Q38)</f>
        <v>3643135.6959999991</v>
      </c>
      <c r="R39" s="1"/>
    </row>
    <row r="40" spans="1:18" ht="26.4" thickBot="1" x14ac:dyDescent="0.55000000000000004">
      <c r="A40" s="141" t="s">
        <v>55</v>
      </c>
      <c r="B40" s="141"/>
      <c r="C40" s="141"/>
      <c r="D40" s="141"/>
      <c r="E40" s="1"/>
      <c r="F40" s="1"/>
      <c r="G40" s="1"/>
      <c r="H40" s="1"/>
      <c r="I40" s="47"/>
      <c r="J40" s="47"/>
      <c r="K40" s="47"/>
      <c r="L40" s="47"/>
      <c r="M40" s="47"/>
      <c r="N40" s="47"/>
      <c r="O40" s="47"/>
      <c r="P40" s="47"/>
      <c r="Q40" s="68"/>
      <c r="R40" s="1"/>
    </row>
    <row r="41" spans="1:18" ht="18.600000000000001" thickBot="1" x14ac:dyDescent="0.4">
      <c r="A41" s="1"/>
      <c r="B41" s="1"/>
      <c r="C41" s="1"/>
      <c r="D41" s="1"/>
      <c r="E41" s="1"/>
      <c r="F41" s="1"/>
      <c r="G41" s="1"/>
      <c r="H41" s="1"/>
      <c r="I41" s="122" t="s">
        <v>30</v>
      </c>
      <c r="J41" s="139"/>
      <c r="K41" s="139"/>
      <c r="L41" s="139"/>
      <c r="M41" s="139"/>
      <c r="N41" s="139"/>
      <c r="O41" s="139"/>
      <c r="P41" s="140"/>
      <c r="Q41" s="67">
        <f>Q39/1823</f>
        <v>1998.4287964893028</v>
      </c>
      <c r="R41" s="1"/>
    </row>
    <row r="42" spans="1:18" ht="18" x14ac:dyDescent="0.35">
      <c r="A42" s="1"/>
      <c r="B42" s="1"/>
      <c r="C42" s="1"/>
      <c r="D42" s="1"/>
      <c r="E42" s="1"/>
      <c r="F42" s="1"/>
      <c r="G42" s="1"/>
      <c r="H42" s="1"/>
      <c r="I42" s="47"/>
      <c r="J42" s="47"/>
      <c r="K42" s="47"/>
      <c r="L42" s="47"/>
      <c r="M42" s="47"/>
      <c r="N42" s="47"/>
      <c r="O42" s="47"/>
      <c r="P42" s="47"/>
      <c r="Q42" s="47"/>
      <c r="R42" s="1"/>
    </row>
    <row r="43" spans="1:18" x14ac:dyDescent="0.3">
      <c r="A43" s="1"/>
      <c r="B43" s="1"/>
      <c r="C43" s="1"/>
      <c r="D43" s="1"/>
      <c r="I43" s="1"/>
      <c r="J43" s="1"/>
      <c r="K43" s="1"/>
      <c r="L43" s="1"/>
      <c r="M43" s="1"/>
      <c r="N43" s="1"/>
      <c r="O43" s="1"/>
      <c r="P43" s="1"/>
      <c r="Q43" s="1"/>
    </row>
    <row r="44" spans="1:18" x14ac:dyDescent="0.3">
      <c r="I44" s="1"/>
      <c r="J44" s="1"/>
      <c r="K44" s="1"/>
      <c r="L44" s="1"/>
      <c r="M44" s="1"/>
      <c r="N44" s="1"/>
      <c r="O44" s="1"/>
      <c r="P44" s="1"/>
      <c r="Q44" s="1"/>
    </row>
    <row r="45" spans="1:18" x14ac:dyDescent="0.3">
      <c r="I45" s="1"/>
      <c r="J45" s="1"/>
      <c r="K45" s="1"/>
      <c r="L45" s="1"/>
      <c r="M45" s="1"/>
      <c r="N45" s="1"/>
      <c r="O45" s="1"/>
      <c r="P45" s="1"/>
      <c r="Q45" s="1"/>
    </row>
    <row r="46" spans="1:18" x14ac:dyDescent="0.3">
      <c r="I46" s="1"/>
      <c r="J46" s="1"/>
      <c r="K46" s="1"/>
      <c r="L46" s="1"/>
      <c r="M46" s="1"/>
      <c r="N46" s="1"/>
      <c r="O46" s="1"/>
      <c r="P46" s="1"/>
      <c r="Q46" s="1"/>
    </row>
    <row r="47" spans="1:18" x14ac:dyDescent="0.3">
      <c r="I47" s="1"/>
      <c r="J47" s="1"/>
      <c r="K47" s="1"/>
      <c r="L47" s="1"/>
      <c r="M47" s="1"/>
      <c r="N47" s="1"/>
      <c r="O47" s="1"/>
      <c r="P47" s="1"/>
      <c r="Q47" s="1"/>
    </row>
  </sheetData>
  <mergeCells count="50">
    <mergeCell ref="A10:B10"/>
    <mergeCell ref="A9:B9"/>
    <mergeCell ref="A3:B3"/>
    <mergeCell ref="A2:B2"/>
    <mergeCell ref="A1:B1"/>
    <mergeCell ref="A8:B8"/>
    <mergeCell ref="A7:B7"/>
    <mergeCell ref="A6:B6"/>
    <mergeCell ref="A5:B5"/>
    <mergeCell ref="A4:B4"/>
    <mergeCell ref="A34:C34"/>
    <mergeCell ref="I36:P36"/>
    <mergeCell ref="A13:B13"/>
    <mergeCell ref="A12:B12"/>
    <mergeCell ref="A11:B11"/>
    <mergeCell ref="I35:P35"/>
    <mergeCell ref="A35:C35"/>
    <mergeCell ref="I27:P27"/>
    <mergeCell ref="I28:P28"/>
    <mergeCell ref="I30:P30"/>
    <mergeCell ref="I31:P31"/>
    <mergeCell ref="I34:P34"/>
    <mergeCell ref="I29:P29"/>
    <mergeCell ref="I33:P33"/>
    <mergeCell ref="I32:P32"/>
    <mergeCell ref="A32:C32"/>
    <mergeCell ref="I37:P37"/>
    <mergeCell ref="I39:P39"/>
    <mergeCell ref="I41:P41"/>
    <mergeCell ref="A40:D40"/>
    <mergeCell ref="A37:C37"/>
    <mergeCell ref="I38:P38"/>
    <mergeCell ref="A33:C33"/>
    <mergeCell ref="A22:C22"/>
    <mergeCell ref="A28:C28"/>
    <mergeCell ref="A26:C26"/>
    <mergeCell ref="A27:C27"/>
    <mergeCell ref="A29:C29"/>
    <mergeCell ref="A30:C30"/>
    <mergeCell ref="A31:C31"/>
    <mergeCell ref="I26:P26"/>
    <mergeCell ref="I25:P25"/>
    <mergeCell ref="I24:P24"/>
    <mergeCell ref="A23:C23"/>
    <mergeCell ref="A21:C21"/>
    <mergeCell ref="A24:C24"/>
    <mergeCell ref="A25:C25"/>
    <mergeCell ref="I21:P21"/>
    <mergeCell ref="I22:P22"/>
    <mergeCell ref="I23:P23"/>
  </mergeCells>
  <pageMargins left="0.70866141732283472" right="0.70866141732283472" top="0.86508534136546189" bottom="0.74803149606299213" header="0.31496062992125984" footer="0.31496062992125984"/>
  <pageSetup paperSize="9" scale="53" orientation="landscape" r:id="rId1"/>
  <headerFooter>
    <oddHeader>&amp;C&amp;"-,полужирный"&amp;24СМЕТА на 2025 год
&amp;16к очередному общему собранию №02/2024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>
        <f>71.28+87.12+102.3+89.1+95.7+79.2+79.2+102.3+85.8+92.4+86.9+85.8</f>
        <v>1057.0999999999999</v>
      </c>
    </row>
    <row r="2" spans="1:1" x14ac:dyDescent="0.3">
      <c r="A2">
        <f>A1*485.82</f>
        <v>513560.32199999993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2000 руб. -2026</vt:lpstr>
      <vt:lpstr>Лист2</vt:lpstr>
      <vt:lpstr>1850 руб. -2023 </vt:lpstr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Будник</dc:creator>
  <cp:lastModifiedBy>ivanjutka@mail.ru</cp:lastModifiedBy>
  <cp:lastPrinted>2023-08-11T18:53:30Z</cp:lastPrinted>
  <dcterms:created xsi:type="dcterms:W3CDTF">2023-04-02T11:29:09Z</dcterms:created>
  <dcterms:modified xsi:type="dcterms:W3CDTF">2025-08-20T16:36:45Z</dcterms:modified>
</cp:coreProperties>
</file>